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42 - Portal RI\09. Planilhas Interativas\2026\2T2026\"/>
    </mc:Choice>
  </mc:AlternateContent>
  <xr:revisionPtr revIDLastSave="0" documentId="13_ncr:1_{6694BA5B-2A65-4520-88CF-EFF9F2F2B8D2}" xr6:coauthVersionLast="47" xr6:coauthVersionMax="47" xr10:uidLastSave="{00000000-0000-0000-0000-000000000000}"/>
  <bookViews>
    <workbookView xWindow="-105" yWindow="0" windowWidth="14610" windowHeight="15585" tabRatio="0" firstSheet="7" activeTab="7" xr2:uid="{00000000-000D-0000-FFFF-FFFF00000000}"/>
  </bookViews>
  <sheets>
    <sheet name="Home" sheetId="1" r:id="rId1"/>
    <sheet name="Balanço Patrimonial" sheetId="2" r:id="rId2"/>
    <sheet name="DRE Analitica" sheetId="3" r:id="rId3"/>
    <sheet name="DRE Sintetica" sheetId="4" r:id="rId4"/>
    <sheet name="Resultados Abrangentes" sheetId="5" r:id="rId5"/>
    <sheet name="Fluxos de Caixa" sheetId="6" r:id="rId6"/>
    <sheet name="Valores Adicionados" sheetId="7" r:id="rId7"/>
    <sheet name="Indicadores Operacionais" sheetId="8" r:id="rId8"/>
    <sheet name="Recepção" sheetId="9" state="hidden" r:id="rId9"/>
  </sheets>
  <externalReferences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3" l="1"/>
  <c r="B23" i="3"/>
  <c r="D29" i="8" l="1"/>
  <c r="B20" i="3" l="1"/>
  <c r="B8" i="3" s="1"/>
  <c r="B50" i="7"/>
  <c r="B45" i="7"/>
  <c r="B40" i="7"/>
  <c r="B36" i="7"/>
  <c r="B34" i="7"/>
  <c r="B30" i="7"/>
  <c r="B25" i="7"/>
  <c r="B23" i="7"/>
  <c r="B28" i="7" s="1"/>
  <c r="B32" i="7" s="1"/>
  <c r="B16" i="7"/>
  <c r="B8" i="7"/>
  <c r="B57" i="6"/>
  <c r="B45" i="6"/>
  <c r="B42" i="6"/>
  <c r="B27" i="6"/>
  <c r="B10" i="6"/>
  <c r="B8" i="6"/>
  <c r="B69" i="6" s="1"/>
  <c r="B13" i="5"/>
  <c r="B23" i="4"/>
  <c r="B13" i="4"/>
  <c r="B8" i="4"/>
  <c r="B16" i="4" s="1"/>
  <c r="B24" i="4" s="1"/>
  <c r="B26" i="4" s="1"/>
  <c r="B29" i="4" s="1"/>
  <c r="B30" i="4" s="1"/>
  <c r="B70" i="2"/>
  <c r="B54" i="2"/>
  <c r="B77" i="2" s="1"/>
  <c r="B38" i="2"/>
  <c r="B20" i="2"/>
  <c r="B35" i="2" s="1"/>
  <c r="B9" i="2"/>
  <c r="C20" i="3"/>
  <c r="C23" i="3" s="1"/>
  <c r="C57" i="6"/>
  <c r="C45" i="6"/>
  <c r="C42" i="6"/>
  <c r="C27" i="6"/>
  <c r="C10" i="6"/>
  <c r="C8" i="6" l="1"/>
  <c r="C69" i="6" s="1"/>
  <c r="C45" i="7"/>
  <c r="C40" i="7"/>
  <c r="C36" i="7"/>
  <c r="C30" i="7"/>
  <c r="C25" i="7"/>
  <c r="C16" i="7"/>
  <c r="C8" i="7"/>
  <c r="C13" i="5"/>
  <c r="C23" i="4"/>
  <c r="C13" i="4"/>
  <c r="C8" i="4"/>
  <c r="C70" i="2"/>
  <c r="C54" i="2"/>
  <c r="C38" i="2"/>
  <c r="C20" i="2"/>
  <c r="C9" i="2"/>
  <c r="C34" i="7" l="1"/>
  <c r="C23" i="7"/>
  <c r="C28" i="7" s="1"/>
  <c r="C32" i="7" s="1"/>
  <c r="C16" i="4"/>
  <c r="C24" i="4" s="1"/>
  <c r="C26" i="4" s="1"/>
  <c r="C29" i="4" s="1"/>
  <c r="C30" i="4" s="1"/>
  <c r="C77" i="2"/>
  <c r="C35" i="2"/>
  <c r="D8" i="7" l="1"/>
  <c r="D20" i="3" l="1"/>
  <c r="D23" i="3" s="1"/>
  <c r="D23" i="4"/>
  <c r="D13" i="4"/>
  <c r="D8" i="4"/>
  <c r="D16" i="4" s="1"/>
  <c r="D24" i="4" s="1"/>
  <c r="D26" i="4" s="1"/>
  <c r="D29" i="4" s="1"/>
  <c r="D30" i="4" s="1"/>
  <c r="D45" i="7"/>
  <c r="D40" i="7"/>
  <c r="D36" i="7"/>
  <c r="D30" i="7"/>
  <c r="D25" i="7"/>
  <c r="D16" i="7"/>
  <c r="D27" i="6"/>
  <c r="D57" i="6"/>
  <c r="D45" i="6"/>
  <c r="D42" i="6"/>
  <c r="D13" i="5"/>
  <c r="D10" i="6"/>
  <c r="D38" i="2"/>
  <c r="D34" i="7" l="1"/>
  <c r="D23" i="7"/>
  <c r="D28" i="7" s="1"/>
  <c r="D32" i="7" s="1"/>
  <c r="D8" i="6"/>
  <c r="D69" i="6" s="1"/>
  <c r="D70" i="2" l="1"/>
  <c r="D54" i="2"/>
  <c r="D20" i="2"/>
  <c r="D9" i="2"/>
  <c r="D77" i="2" l="1"/>
  <c r="D35" i="2"/>
  <c r="E23" i="4"/>
  <c r="E20" i="3" l="1"/>
  <c r="E13" i="4"/>
  <c r="E8" i="4"/>
  <c r="E50" i="7"/>
  <c r="E45" i="7"/>
  <c r="E40" i="7"/>
  <c r="E36" i="7"/>
  <c r="E30" i="7"/>
  <c r="E25" i="7"/>
  <c r="E16" i="7"/>
  <c r="E8" i="7"/>
  <c r="E13" i="5"/>
  <c r="E16" i="4" l="1"/>
  <c r="E24" i="4" s="1"/>
  <c r="E26" i="4" s="1"/>
  <c r="E29" i="4" s="1"/>
  <c r="E30" i="4" s="1"/>
  <c r="E23" i="7"/>
  <c r="E28" i="7" s="1"/>
  <c r="E32" i="7" s="1"/>
  <c r="E34" i="7"/>
  <c r="E57" i="6" l="1"/>
  <c r="E45" i="6"/>
  <c r="E42" i="6"/>
  <c r="E27" i="6"/>
  <c r="E10" i="6"/>
  <c r="E70" i="2"/>
  <c r="E54" i="2"/>
  <c r="E38" i="2"/>
  <c r="E20" i="2"/>
  <c r="E9" i="2"/>
  <c r="F20" i="3"/>
  <c r="E8" i="6" l="1"/>
  <c r="E69" i="6" s="1"/>
  <c r="E77" i="2"/>
  <c r="E35" i="2"/>
  <c r="F70" i="2"/>
  <c r="F54" i="2"/>
  <c r="F38" i="2"/>
  <c r="F20" i="2"/>
  <c r="F9" i="2"/>
  <c r="F23" i="4"/>
  <c r="F13" i="4"/>
  <c r="F8" i="4"/>
  <c r="F57" i="6"/>
  <c r="F45" i="6"/>
  <c r="F42" i="6"/>
  <c r="F27" i="6"/>
  <c r="F10" i="6"/>
  <c r="F50" i="7"/>
  <c r="F45" i="7"/>
  <c r="F16" i="7"/>
  <c r="F40" i="7"/>
  <c r="F36" i="7"/>
  <c r="F30" i="7"/>
  <c r="F25" i="7"/>
  <c r="F8" i="7"/>
  <c r="F13" i="5"/>
  <c r="F8" i="6" l="1"/>
  <c r="F69" i="6" s="1"/>
  <c r="F77" i="2"/>
  <c r="F35" i="2"/>
  <c r="F16" i="4"/>
  <c r="F24" i="4" s="1"/>
  <c r="F26" i="4" s="1"/>
  <c r="F29" i="4" s="1"/>
  <c r="F34" i="7"/>
  <c r="F23" i="7"/>
  <c r="F28" i="7" s="1"/>
  <c r="F32" i="7" s="1"/>
  <c r="G23" i="4" l="1"/>
  <c r="G19" i="3"/>
  <c r="G20" i="3" s="1"/>
  <c r="G54" i="2"/>
  <c r="H54" i="2"/>
  <c r="G13" i="4"/>
  <c r="G8" i="4"/>
  <c r="G50" i="7"/>
  <c r="G45" i="7"/>
  <c r="G40" i="7"/>
  <c r="G36" i="7"/>
  <c r="G30" i="7"/>
  <c r="G25" i="7"/>
  <c r="G16" i="7"/>
  <c r="G8" i="7"/>
  <c r="G13" i="5"/>
  <c r="G57" i="6"/>
  <c r="G45" i="6"/>
  <c r="G42" i="6"/>
  <c r="G27" i="6"/>
  <c r="G10" i="6"/>
  <c r="G70" i="2"/>
  <c r="G38" i="2"/>
  <c r="G20" i="2"/>
  <c r="G9" i="2"/>
  <c r="H18" i="3"/>
  <c r="H23" i="4"/>
  <c r="H13" i="4"/>
  <c r="H8" i="4"/>
  <c r="H50" i="7"/>
  <c r="H45" i="7"/>
  <c r="H40" i="7"/>
  <c r="H36" i="7"/>
  <c r="H30" i="7"/>
  <c r="H25" i="7"/>
  <c r="H16" i="7"/>
  <c r="H8" i="7"/>
  <c r="H13" i="5"/>
  <c r="H10" i="6"/>
  <c r="H57" i="6"/>
  <c r="H45" i="6"/>
  <c r="H42" i="6"/>
  <c r="H27" i="6"/>
  <c r="H9" i="2"/>
  <c r="H70" i="2"/>
  <c r="H38" i="2"/>
  <c r="H20" i="2"/>
  <c r="X20" i="3"/>
  <c r="K34" i="8"/>
  <c r="J34" i="8" s="1"/>
  <c r="I34" i="8" s="1"/>
  <c r="H34" i="8" s="1"/>
  <c r="K35" i="8"/>
  <c r="J35" i="8" s="1"/>
  <c r="I35" i="8" s="1"/>
  <c r="H35" i="8" s="1"/>
  <c r="K36" i="8"/>
  <c r="J36" i="8" s="1"/>
  <c r="I36" i="8" s="1"/>
  <c r="H36" i="8" s="1"/>
  <c r="K37" i="8"/>
  <c r="J37" i="8" s="1"/>
  <c r="I37" i="8" s="1"/>
  <c r="H37" i="8" s="1"/>
  <c r="I70" i="2"/>
  <c r="I54" i="2"/>
  <c r="I38" i="2"/>
  <c r="I20" i="2"/>
  <c r="I9" i="2"/>
  <c r="I57" i="6"/>
  <c r="I45" i="6"/>
  <c r="I42" i="6"/>
  <c r="I27" i="6"/>
  <c r="I10" i="6"/>
  <c r="H34" i="7" l="1"/>
  <c r="G34" i="7"/>
  <c r="G16" i="4"/>
  <c r="G24" i="4" s="1"/>
  <c r="G26" i="4" s="1"/>
  <c r="G29" i="4" s="1"/>
  <c r="G23" i="7"/>
  <c r="G28" i="7" s="1"/>
  <c r="G32" i="7" s="1"/>
  <c r="G8" i="6"/>
  <c r="G69" i="6" s="1"/>
  <c r="G73" i="6" s="1"/>
  <c r="G77" i="2"/>
  <c r="G35" i="2"/>
  <c r="H16" i="4"/>
  <c r="H24" i="4" s="1"/>
  <c r="H26" i="4" s="1"/>
  <c r="H23" i="7"/>
  <c r="H28" i="7" s="1"/>
  <c r="H32" i="7" s="1"/>
  <c r="H8" i="6"/>
  <c r="H69" i="6" s="1"/>
  <c r="H73" i="6" s="1"/>
  <c r="H77" i="2"/>
  <c r="H35" i="2"/>
  <c r="I77" i="2"/>
  <c r="I35" i="2"/>
  <c r="I8" i="6"/>
  <c r="I69" i="6" s="1"/>
  <c r="I73" i="6" s="1"/>
  <c r="I50" i="7" l="1"/>
  <c r="I45" i="7"/>
  <c r="I40" i="7"/>
  <c r="I36" i="7"/>
  <c r="I30" i="7"/>
  <c r="I25" i="7"/>
  <c r="I16" i="7"/>
  <c r="I8" i="7"/>
  <c r="I13" i="5"/>
  <c r="I23" i="4"/>
  <c r="I13" i="4"/>
  <c r="I8" i="4"/>
  <c r="I34" i="7" l="1"/>
  <c r="I23" i="7"/>
  <c r="I28" i="7" s="1"/>
  <c r="I32" i="7" s="1"/>
  <c r="I16" i="4"/>
  <c r="I24" i="4" s="1"/>
  <c r="I26" i="4" s="1"/>
  <c r="J19" i="3" l="1"/>
  <c r="J50" i="7"/>
  <c r="J45" i="7"/>
  <c r="J40" i="7"/>
  <c r="J36" i="7"/>
  <c r="J30" i="7"/>
  <c r="J25" i="7"/>
  <c r="J16" i="7"/>
  <c r="J8" i="7"/>
  <c r="J57" i="6"/>
  <c r="J45" i="6"/>
  <c r="J42" i="6"/>
  <c r="J27" i="6"/>
  <c r="J10" i="6"/>
  <c r="J13" i="5"/>
  <c r="J23" i="4"/>
  <c r="J13" i="4"/>
  <c r="J8" i="4"/>
  <c r="J70" i="2"/>
  <c r="J54" i="2"/>
  <c r="J38" i="2"/>
  <c r="J20" i="2"/>
  <c r="J9" i="2"/>
  <c r="Y26" i="3"/>
  <c r="Y23" i="3"/>
  <c r="Y22" i="3"/>
  <c r="Y21" i="3"/>
  <c r="Y18" i="3"/>
  <c r="Y17" i="3"/>
  <c r="Y16" i="3"/>
  <c r="Y14" i="3"/>
  <c r="Y13" i="3"/>
  <c r="Y12" i="3"/>
  <c r="Y11" i="3"/>
  <c r="Y10" i="3"/>
  <c r="Y9" i="3"/>
  <c r="Y8" i="3"/>
  <c r="Y19" i="3"/>
  <c r="Z26" i="3"/>
  <c r="Z23" i="3"/>
  <c r="Z22" i="3"/>
  <c r="Z21" i="3"/>
  <c r="Z19" i="3"/>
  <c r="Z18" i="3"/>
  <c r="Z17" i="3"/>
  <c r="Z16" i="3"/>
  <c r="Z14" i="3"/>
  <c r="Z13" i="3"/>
  <c r="Z12" i="3"/>
  <c r="Z11" i="3"/>
  <c r="Z10" i="3"/>
  <c r="Z9" i="3"/>
  <c r="Z8" i="3"/>
  <c r="AE19" i="3"/>
  <c r="AE18" i="3"/>
  <c r="AD19" i="3"/>
  <c r="AC19" i="3"/>
  <c r="AA26" i="3"/>
  <c r="AA23" i="3"/>
  <c r="AA21" i="3"/>
  <c r="AA22" i="3"/>
  <c r="AA20" i="3"/>
  <c r="AA19" i="3"/>
  <c r="AA18" i="3"/>
  <c r="AA17" i="3"/>
  <c r="AA16" i="3"/>
  <c r="AA14" i="3"/>
  <c r="AA13" i="3"/>
  <c r="AA12" i="3"/>
  <c r="AA11" i="3"/>
  <c r="AA10" i="3"/>
  <c r="AA9" i="3"/>
  <c r="AA8" i="3"/>
  <c r="AC26" i="3"/>
  <c r="AC23" i="3"/>
  <c r="AC22" i="3"/>
  <c r="AC21" i="3"/>
  <c r="AC18" i="3"/>
  <c r="AC17" i="3"/>
  <c r="AC16" i="3"/>
  <c r="AC14" i="3"/>
  <c r="AC13" i="3"/>
  <c r="AC12" i="3"/>
  <c r="AC11" i="3"/>
  <c r="AC10" i="3"/>
  <c r="AC9" i="3"/>
  <c r="AC8" i="3"/>
  <c r="AD26" i="3"/>
  <c r="AD25" i="3"/>
  <c r="AD24" i="3"/>
  <c r="AD23" i="3"/>
  <c r="AD22" i="3"/>
  <c r="AD21" i="3"/>
  <c r="AD18" i="3"/>
  <c r="AD17" i="3"/>
  <c r="AD16" i="3"/>
  <c r="AD14" i="3"/>
  <c r="AD13" i="3"/>
  <c r="AD12" i="3"/>
  <c r="AD11" i="3"/>
  <c r="AD10" i="3"/>
  <c r="AD9" i="3"/>
  <c r="AD8" i="3"/>
  <c r="AE14" i="3"/>
  <c r="AE13" i="3"/>
  <c r="AE12" i="3"/>
  <c r="AE11" i="3"/>
  <c r="AE10" i="3"/>
  <c r="AE9" i="3"/>
  <c r="AE22" i="3"/>
  <c r="J34" i="7" l="1"/>
  <c r="J23" i="7"/>
  <c r="J28" i="7" s="1"/>
  <c r="J32" i="7" s="1"/>
  <c r="J8" i="6"/>
  <c r="J69" i="6" s="1"/>
  <c r="J73" i="6" s="1"/>
  <c r="J16" i="4"/>
  <c r="J24" i="4" s="1"/>
  <c r="J26" i="4" s="1"/>
  <c r="J29" i="4" s="1"/>
  <c r="AA24" i="3"/>
  <c r="AC20" i="3"/>
  <c r="AC24" i="3"/>
  <c r="J77" i="2"/>
  <c r="J35" i="2"/>
  <c r="AD20" i="3"/>
  <c r="AA27" i="3"/>
  <c r="Y24" i="3"/>
  <c r="Y25" i="3" s="1"/>
  <c r="Z24" i="3"/>
  <c r="Z25" i="3" s="1"/>
  <c r="Z20" i="3"/>
  <c r="Y20" i="3"/>
  <c r="AE20" i="3"/>
  <c r="AD70" i="2"/>
  <c r="AD54" i="2"/>
  <c r="Y48" i="7" l="1"/>
  <c r="Z50" i="7" l="1"/>
  <c r="AA50" i="7" l="1"/>
  <c r="AD25" i="6" l="1"/>
  <c r="AA23" i="4" l="1"/>
  <c r="Z23" i="4"/>
  <c r="Y23" i="4"/>
  <c r="AA13" i="4"/>
  <c r="Z13" i="4"/>
  <c r="Y13" i="4"/>
  <c r="AA8" i="4"/>
  <c r="Z8" i="4"/>
  <c r="Y8" i="4"/>
  <c r="AE23" i="4"/>
  <c r="AD23" i="4"/>
  <c r="AC23" i="4"/>
  <c r="AE13" i="4"/>
  <c r="AD13" i="4"/>
  <c r="AC13" i="4"/>
  <c r="AE8" i="4"/>
  <c r="AD8" i="4"/>
  <c r="AC8" i="4"/>
  <c r="Y16" i="4" l="1"/>
  <c r="Y24" i="4"/>
  <c r="Y26" i="4" s="1"/>
  <c r="Y29" i="4" s="1"/>
  <c r="Z16" i="4"/>
  <c r="Z24" i="4" s="1"/>
  <c r="Z26" i="4" s="1"/>
  <c r="Z29" i="4" s="1"/>
  <c r="AA16" i="4"/>
  <c r="AA24" i="4" s="1"/>
  <c r="AA26" i="4" s="1"/>
  <c r="AA29" i="4" s="1"/>
  <c r="AD16" i="4"/>
  <c r="AD24" i="4" s="1"/>
  <c r="AD26" i="4" s="1"/>
  <c r="AD29" i="4" s="1"/>
  <c r="AC16" i="4"/>
  <c r="AC24" i="4" s="1"/>
  <c r="AC26" i="4" s="1"/>
  <c r="AC29" i="4" s="1"/>
  <c r="AE16" i="4"/>
  <c r="AE24" i="4" s="1"/>
  <c r="AE26" i="4" s="1"/>
  <c r="AE29" i="4" s="1"/>
  <c r="AA70" i="2" l="1"/>
  <c r="Z70" i="2"/>
  <c r="Y70" i="2"/>
  <c r="AA54" i="2"/>
  <c r="Z54" i="2"/>
  <c r="Y54" i="2"/>
  <c r="AA38" i="2"/>
  <c r="Z38" i="2"/>
  <c r="Y38" i="2"/>
  <c r="AA20" i="2"/>
  <c r="Z20" i="2"/>
  <c r="Y20" i="2"/>
  <c r="AA9" i="2"/>
  <c r="Z9" i="2"/>
  <c r="Y9" i="2"/>
  <c r="AE70" i="2"/>
  <c r="AC70" i="2"/>
  <c r="AE54" i="2"/>
  <c r="AC54" i="2"/>
  <c r="AE38" i="2"/>
  <c r="AD38" i="2"/>
  <c r="AC38" i="2"/>
  <c r="AE20" i="2"/>
  <c r="AD20" i="2"/>
  <c r="AC20" i="2"/>
  <c r="AE9" i="2"/>
  <c r="AD9" i="2"/>
  <c r="AC9" i="2"/>
  <c r="AA13" i="5"/>
  <c r="Z13" i="5"/>
  <c r="Y13" i="5"/>
  <c r="AE13" i="5"/>
  <c r="AD13" i="5"/>
  <c r="AC13" i="5"/>
  <c r="AE57" i="6"/>
  <c r="AD57" i="6"/>
  <c r="AC57" i="6"/>
  <c r="AE45" i="6"/>
  <c r="AD45" i="6"/>
  <c r="AC45" i="6"/>
  <c r="AE42" i="6"/>
  <c r="AD42" i="6"/>
  <c r="AC42" i="6"/>
  <c r="AE27" i="6"/>
  <c r="AD27" i="6"/>
  <c r="AC27" i="6"/>
  <c r="AE10" i="6"/>
  <c r="AD10" i="6"/>
  <c r="AC10" i="6"/>
  <c r="AA57" i="6"/>
  <c r="Z57" i="6"/>
  <c r="Y57" i="6"/>
  <c r="AA45" i="6"/>
  <c r="Z45" i="6"/>
  <c r="Y45" i="6"/>
  <c r="AA42" i="6"/>
  <c r="Z42" i="6"/>
  <c r="Y42" i="6"/>
  <c r="AA27" i="6"/>
  <c r="Z27" i="6"/>
  <c r="Y27" i="6"/>
  <c r="AA10" i="6"/>
  <c r="Z10" i="6"/>
  <c r="Y10" i="6"/>
  <c r="AD8" i="6" l="1"/>
  <c r="AD69" i="6" s="1"/>
  <c r="AD35" i="2"/>
  <c r="AA77" i="2"/>
  <c r="Z77" i="2"/>
  <c r="Y77" i="2"/>
  <c r="Y35" i="2"/>
  <c r="Z35" i="2"/>
  <c r="AA35" i="2"/>
  <c r="AC8" i="6"/>
  <c r="AC69" i="6" s="1"/>
  <c r="AC77" i="2"/>
  <c r="AE77" i="2"/>
  <c r="AD77" i="2"/>
  <c r="AC35" i="2"/>
  <c r="AE35" i="2"/>
  <c r="AE8" i="6"/>
  <c r="AE69" i="6" s="1"/>
  <c r="Y8" i="6"/>
  <c r="Y69" i="6" s="1"/>
  <c r="Z8" i="6"/>
  <c r="Z69" i="6" s="1"/>
  <c r="AA8" i="6"/>
  <c r="AA69" i="6" s="1"/>
  <c r="AA45" i="7" l="1"/>
  <c r="Z45" i="7"/>
  <c r="Y45" i="7"/>
  <c r="AA40" i="7"/>
  <c r="Z40" i="7"/>
  <c r="Y40" i="7"/>
  <c r="AA36" i="7"/>
  <c r="Z36" i="7"/>
  <c r="Y36" i="7"/>
  <c r="AA30" i="7"/>
  <c r="Z30" i="7"/>
  <c r="Y30" i="7"/>
  <c r="AA25" i="7"/>
  <c r="Z25" i="7"/>
  <c r="Y25" i="7"/>
  <c r="AA16" i="7"/>
  <c r="Z16" i="7"/>
  <c r="Y16" i="7"/>
  <c r="AA8" i="7"/>
  <c r="Z8" i="7"/>
  <c r="Y8" i="7"/>
  <c r="AE50" i="7"/>
  <c r="AD50" i="7"/>
  <c r="AC50" i="7"/>
  <c r="AE45" i="7"/>
  <c r="AD45" i="7"/>
  <c r="AC45" i="7"/>
  <c r="AE40" i="7"/>
  <c r="AD40" i="7"/>
  <c r="AC40" i="7"/>
  <c r="AE36" i="7"/>
  <c r="AD36" i="7"/>
  <c r="AC36" i="7"/>
  <c r="AE30" i="7"/>
  <c r="AD30" i="7"/>
  <c r="AC30" i="7"/>
  <c r="AE25" i="7"/>
  <c r="AD25" i="7"/>
  <c r="AC25" i="7"/>
  <c r="AE16" i="7"/>
  <c r="AD16" i="7"/>
  <c r="AC16" i="7"/>
  <c r="AE8" i="7"/>
  <c r="AD8" i="7"/>
  <c r="AC8" i="7"/>
  <c r="W50" i="7"/>
  <c r="W45" i="7"/>
  <c r="W40" i="7"/>
  <c r="W36" i="7"/>
  <c r="W30" i="7"/>
  <c r="W25" i="7"/>
  <c r="W16" i="7"/>
  <c r="W8" i="7"/>
  <c r="AC34" i="7" l="1"/>
  <c r="AD34" i="7"/>
  <c r="Y34" i="7"/>
  <c r="Y23" i="7"/>
  <c r="Y28" i="7" s="1"/>
  <c r="Y32" i="7" s="1"/>
  <c r="Z34" i="7"/>
  <c r="AA34" i="7"/>
  <c r="AC23" i="7"/>
  <c r="AC28" i="7" s="1"/>
  <c r="AC32" i="7" s="1"/>
  <c r="AE34" i="7"/>
  <c r="Z23" i="7"/>
  <c r="Z28" i="7" s="1"/>
  <c r="Z32" i="7" s="1"/>
  <c r="AA23" i="7"/>
  <c r="AA28" i="7" s="1"/>
  <c r="AA32" i="7" s="1"/>
  <c r="AD23" i="7"/>
  <c r="AD28" i="7" s="1"/>
  <c r="AD32" i="7" s="1"/>
  <c r="AE23" i="7"/>
  <c r="AE28" i="7" s="1"/>
  <c r="AE32" i="7" s="1"/>
  <c r="W34" i="7"/>
  <c r="W23" i="7"/>
  <c r="W28" i="7" s="1"/>
  <c r="W32" i="7" s="1"/>
  <c r="N22" i="4" l="1"/>
  <c r="N23" i="4" s="1"/>
  <c r="M23" i="4"/>
  <c r="M13" i="4"/>
  <c r="M8" i="4"/>
  <c r="N13" i="4"/>
  <c r="N8" i="4"/>
  <c r="N16" i="4" s="1"/>
  <c r="M16" i="4" l="1"/>
  <c r="M24" i="4" s="1"/>
  <c r="M26" i="4" s="1"/>
  <c r="M29" i="4" s="1"/>
  <c r="N24" i="4"/>
  <c r="N26" i="4" s="1"/>
  <c r="N29" i="4" s="1"/>
  <c r="R23" i="4" l="1"/>
  <c r="R13" i="4"/>
  <c r="R8" i="4"/>
  <c r="R16" i="4" s="1"/>
  <c r="R50" i="7"/>
  <c r="R45" i="7"/>
  <c r="R40" i="7"/>
  <c r="R36" i="7"/>
  <c r="R30" i="7"/>
  <c r="R25" i="7"/>
  <c r="R16" i="7"/>
  <c r="R8" i="7"/>
  <c r="R24" i="4" l="1"/>
  <c r="R26" i="4" s="1"/>
  <c r="R29" i="4" s="1"/>
  <c r="R34" i="7"/>
  <c r="R23" i="7"/>
  <c r="R28" i="7" s="1"/>
  <c r="R32" i="7" s="1"/>
  <c r="Q50" i="7" l="1"/>
  <c r="Q45" i="7"/>
  <c r="Q40" i="7"/>
  <c r="Q36" i="7"/>
  <c r="Q34" i="7" s="1"/>
  <c r="Q30" i="7"/>
  <c r="Q25" i="7"/>
  <c r="Q16" i="7"/>
  <c r="Q8" i="7"/>
  <c r="Q23" i="4"/>
  <c r="Q13" i="4"/>
  <c r="Q8" i="4"/>
  <c r="Q23" i="7" l="1"/>
  <c r="Q28" i="7" s="1"/>
  <c r="Q32" i="7" s="1"/>
  <c r="Q16" i="4"/>
  <c r="Q24" i="4" s="1"/>
  <c r="Q26" i="4" s="1"/>
  <c r="Q29" i="4" s="1"/>
  <c r="O50" i="7" l="1"/>
  <c r="O45" i="7"/>
  <c r="O40" i="7"/>
  <c r="O36" i="7"/>
  <c r="O30" i="7"/>
  <c r="O25" i="7"/>
  <c r="O16" i="7"/>
  <c r="O8" i="7"/>
  <c r="O57" i="6"/>
  <c r="O45" i="6"/>
  <c r="O42" i="6"/>
  <c r="O27" i="6"/>
  <c r="O10" i="6"/>
  <c r="O23" i="4"/>
  <c r="O13" i="4"/>
  <c r="O8" i="4"/>
  <c r="O34" i="7" l="1"/>
  <c r="O8" i="6"/>
  <c r="O69" i="6" s="1"/>
  <c r="O73" i="6" s="1"/>
  <c r="O23" i="7"/>
  <c r="O28" i="7" s="1"/>
  <c r="O32" i="7" s="1"/>
  <c r="O16" i="4"/>
  <c r="O24" i="4" s="1"/>
  <c r="O26" i="4" s="1"/>
  <c r="O29" i="4" s="1"/>
  <c r="P23" i="4" l="1"/>
  <c r="P13" i="4"/>
  <c r="P8" i="4"/>
  <c r="T23" i="4"/>
  <c r="T13" i="4"/>
  <c r="T8" i="4"/>
  <c r="P50" i="7"/>
  <c r="P47" i="7"/>
  <c r="P45" i="7" s="1"/>
  <c r="P40" i="7"/>
  <c r="P36" i="7"/>
  <c r="P30" i="7"/>
  <c r="P25" i="7"/>
  <c r="P16" i="7"/>
  <c r="P8" i="7"/>
  <c r="T50" i="7"/>
  <c r="T45" i="7"/>
  <c r="T40" i="7"/>
  <c r="T36" i="7"/>
  <c r="T30" i="7"/>
  <c r="T25" i="7"/>
  <c r="T16" i="7"/>
  <c r="T8" i="7"/>
  <c r="X50" i="7"/>
  <c r="X45" i="7"/>
  <c r="X36" i="7"/>
  <c r="X23" i="7"/>
  <c r="X28" i="7" s="1"/>
  <c r="X32" i="7" s="1"/>
  <c r="T43" i="2"/>
  <c r="T38" i="2" s="1"/>
  <c r="T70" i="2"/>
  <c r="T54" i="2"/>
  <c r="T20" i="2"/>
  <c r="T9" i="2"/>
  <c r="P57" i="6"/>
  <c r="P45" i="6"/>
  <c r="T57" i="6"/>
  <c r="T69" i="6" s="1"/>
  <c r="T73" i="6" s="1"/>
  <c r="T42" i="6"/>
  <c r="AB73" i="6"/>
  <c r="X57" i="6"/>
  <c r="X45" i="6"/>
  <c r="X69" i="6" s="1"/>
  <c r="X73" i="6" s="1"/>
  <c r="X42" i="6"/>
  <c r="AB57" i="6"/>
  <c r="AB45" i="6"/>
  <c r="AB42" i="6"/>
  <c r="T35" i="2" l="1"/>
  <c r="T16" i="4"/>
  <c r="T24" i="4" s="1"/>
  <c r="T26" i="4" s="1"/>
  <c r="T29" i="4" s="1"/>
  <c r="T23" i="7"/>
  <c r="T28" i="7" s="1"/>
  <c r="T32" i="7" s="1"/>
  <c r="P34" i="7"/>
  <c r="T34" i="7"/>
  <c r="P69" i="6"/>
  <c r="P73" i="6" s="1"/>
  <c r="P16" i="4"/>
  <c r="P24" i="4" s="1"/>
  <c r="P26" i="4" s="1"/>
  <c r="P29" i="4" s="1"/>
  <c r="P23" i="7"/>
  <c r="P28" i="7" s="1"/>
  <c r="P32" i="7" s="1"/>
  <c r="X34" i="7"/>
  <c r="T77" i="2"/>
  <c r="K8" i="7"/>
  <c r="L40" i="8"/>
  <c r="K19" i="3" l="1"/>
  <c r="L13" i="5" l="1"/>
  <c r="K50" i="7" l="1"/>
  <c r="K45" i="7"/>
  <c r="K40" i="7"/>
  <c r="K36" i="7"/>
  <c r="K30" i="7"/>
  <c r="K25" i="7"/>
  <c r="K16" i="7"/>
  <c r="K57" i="6"/>
  <c r="K45" i="6"/>
  <c r="K42" i="6"/>
  <c r="K27" i="6"/>
  <c r="K10" i="6"/>
  <c r="K23" i="4"/>
  <c r="K13" i="4"/>
  <c r="K8" i="4"/>
  <c r="K8" i="6" l="1"/>
  <c r="K69" i="6" s="1"/>
  <c r="K73" i="6" s="1"/>
  <c r="K34" i="7"/>
  <c r="K23" i="7"/>
  <c r="K28" i="7" s="1"/>
  <c r="K32" i="7" s="1"/>
  <c r="K16" i="4"/>
  <c r="K24" i="4" s="1"/>
  <c r="K26" i="4" s="1"/>
  <c r="K29" i="4" s="1"/>
  <c r="K70" i="2"/>
  <c r="K54" i="2"/>
  <c r="K38" i="2"/>
  <c r="K20" i="2"/>
  <c r="K9" i="2"/>
  <c r="L26" i="3"/>
  <c r="L24" i="3"/>
  <c r="L22" i="3"/>
  <c r="L21" i="3"/>
  <c r="L19" i="3"/>
  <c r="L18" i="3"/>
  <c r="L17" i="3"/>
  <c r="L16" i="3"/>
  <c r="L14" i="3"/>
  <c r="L13" i="3"/>
  <c r="L12" i="3"/>
  <c r="L11" i="3"/>
  <c r="L10" i="3"/>
  <c r="L9" i="3"/>
  <c r="L8" i="3"/>
  <c r="L50" i="7"/>
  <c r="L45" i="7"/>
  <c r="L40" i="7"/>
  <c r="L36" i="7"/>
  <c r="L30" i="7"/>
  <c r="L25" i="7"/>
  <c r="L16" i="7"/>
  <c r="L8" i="7"/>
  <c r="L57" i="6"/>
  <c r="L45" i="6"/>
  <c r="L42" i="6"/>
  <c r="L27" i="6"/>
  <c r="L10" i="6"/>
  <c r="K13" i="5"/>
  <c r="L8" i="4"/>
  <c r="L23" i="4"/>
  <c r="L13" i="4"/>
  <c r="L70" i="2"/>
  <c r="L54" i="2"/>
  <c r="L38" i="2"/>
  <c r="L20" i="2"/>
  <c r="L9" i="2"/>
  <c r="N40" i="8"/>
  <c r="L20" i="3" l="1"/>
  <c r="K77" i="2"/>
  <c r="K35" i="2"/>
  <c r="L34" i="7"/>
  <c r="L23" i="7"/>
  <c r="L28" i="7" s="1"/>
  <c r="L32" i="7" s="1"/>
  <c r="L8" i="6"/>
  <c r="L69" i="6" s="1"/>
  <c r="L73" i="6" s="1"/>
  <c r="L16" i="4"/>
  <c r="L24" i="4" s="1"/>
  <c r="L26" i="4" s="1"/>
  <c r="L29" i="4" s="1"/>
  <c r="L77" i="2"/>
  <c r="L35" i="2"/>
  <c r="M23" i="3"/>
  <c r="M26" i="3"/>
  <c r="M24" i="3"/>
  <c r="M22" i="3"/>
  <c r="M21" i="3"/>
  <c r="M20" i="3" l="1"/>
  <c r="M19" i="3"/>
  <c r="M18" i="3"/>
  <c r="M17" i="3"/>
  <c r="M16" i="3"/>
  <c r="M14" i="3"/>
  <c r="M13" i="3"/>
  <c r="M12" i="3"/>
  <c r="M11" i="3"/>
  <c r="M10" i="3"/>
  <c r="M9" i="3"/>
  <c r="M8" i="3"/>
  <c r="M50" i="7"/>
  <c r="M45" i="7"/>
  <c r="M40" i="7"/>
  <c r="M36" i="7"/>
  <c r="M30" i="7"/>
  <c r="M25" i="7"/>
  <c r="M16" i="7"/>
  <c r="M8" i="7"/>
  <c r="M57" i="6"/>
  <c r="M45" i="6"/>
  <c r="M42" i="6"/>
  <c r="M27" i="6"/>
  <c r="M10" i="6"/>
  <c r="M34" i="7" l="1"/>
  <c r="M23" i="7"/>
  <c r="M28" i="7" s="1"/>
  <c r="M32" i="7" s="1"/>
  <c r="M69" i="6"/>
  <c r="M73" i="6" s="1"/>
  <c r="M13" i="5"/>
  <c r="M70" i="2"/>
  <c r="M54" i="2"/>
  <c r="M38" i="2"/>
  <c r="M20" i="2"/>
  <c r="M9" i="2"/>
  <c r="M77" i="2" l="1"/>
  <c r="M35" i="2"/>
  <c r="N50" i="7"/>
  <c r="N45" i="7"/>
  <c r="N40" i="7"/>
  <c r="N36" i="7"/>
  <c r="N30" i="7"/>
  <c r="N25" i="7"/>
  <c r="N16" i="7"/>
  <c r="N57" i="6"/>
  <c r="N42" i="6"/>
  <c r="N45" i="6"/>
  <c r="N13" i="5"/>
  <c r="N70" i="2"/>
  <c r="N9" i="2"/>
  <c r="N34" i="7" l="1"/>
  <c r="N8" i="7"/>
  <c r="N23" i="7" s="1"/>
  <c r="N28" i="7" s="1"/>
  <c r="N32" i="7" s="1"/>
  <c r="N27" i="6"/>
  <c r="N10" i="6"/>
  <c r="N54" i="2"/>
  <c r="N38" i="2"/>
  <c r="N20" i="2"/>
  <c r="N35" i="2" s="1"/>
  <c r="O13" i="5"/>
  <c r="R54" i="2"/>
  <c r="Q54" i="2"/>
  <c r="P54" i="2"/>
  <c r="O54" i="2"/>
  <c r="O38" i="2"/>
  <c r="O20" i="2"/>
  <c r="N77" i="2" l="1"/>
  <c r="N8" i="6"/>
  <c r="N69" i="6" s="1"/>
  <c r="N73" i="6" s="1"/>
  <c r="O70" i="2"/>
  <c r="O77" i="2" l="1"/>
  <c r="O9" i="2" l="1"/>
  <c r="O35" i="2" s="1"/>
  <c r="C29" i="9" l="1"/>
  <c r="C28" i="9"/>
  <c r="C27" i="9"/>
  <c r="C26" i="9"/>
  <c r="C25" i="9"/>
  <c r="C24" i="9"/>
  <c r="C23" i="9"/>
  <c r="C22" i="9"/>
  <c r="C19" i="9"/>
  <c r="C18" i="9"/>
  <c r="C17" i="9"/>
  <c r="C16" i="9"/>
  <c r="C15" i="9"/>
  <c r="C14" i="9"/>
  <c r="C13" i="9"/>
  <c r="AB50" i="7"/>
  <c r="V50" i="7"/>
  <c r="U50" i="7"/>
  <c r="S50" i="7"/>
  <c r="AB45" i="7"/>
  <c r="V45" i="7"/>
  <c r="U45" i="7"/>
  <c r="S45" i="7"/>
  <c r="AB40" i="7"/>
  <c r="V40" i="7"/>
  <c r="U40" i="7"/>
  <c r="S40" i="7"/>
  <c r="AB36" i="7"/>
  <c r="V36" i="7"/>
  <c r="U36" i="7"/>
  <c r="S36" i="7"/>
  <c r="AB31" i="7"/>
  <c r="AB30" i="7" s="1"/>
  <c r="V30" i="7"/>
  <c r="U30" i="7"/>
  <c r="S30" i="7"/>
  <c r="AB25" i="7"/>
  <c r="V25" i="7"/>
  <c r="U25" i="7"/>
  <c r="S25" i="7"/>
  <c r="AB16" i="7"/>
  <c r="V16" i="7"/>
  <c r="U16" i="7"/>
  <c r="S16" i="7"/>
  <c r="AB8" i="7"/>
  <c r="V8" i="7"/>
  <c r="U8" i="7"/>
  <c r="S8" i="7"/>
  <c r="W57" i="6"/>
  <c r="V57" i="6"/>
  <c r="U57" i="6"/>
  <c r="S57" i="6"/>
  <c r="R57" i="6"/>
  <c r="Q57" i="6"/>
  <c r="W45" i="6"/>
  <c r="V45" i="6"/>
  <c r="U45" i="6"/>
  <c r="S45" i="6"/>
  <c r="R45" i="6"/>
  <c r="Q45" i="6"/>
  <c r="W42" i="6"/>
  <c r="V42" i="6"/>
  <c r="U42" i="6"/>
  <c r="S42" i="6"/>
  <c r="R42" i="6"/>
  <c r="Q42" i="6"/>
  <c r="W27" i="6"/>
  <c r="V27" i="6"/>
  <c r="U27" i="6"/>
  <c r="S27" i="6"/>
  <c r="R27" i="6"/>
  <c r="Q27" i="6"/>
  <c r="W10" i="6"/>
  <c r="V10" i="6"/>
  <c r="U10" i="6"/>
  <c r="S10" i="6"/>
  <c r="R10" i="6"/>
  <c r="Q10" i="6"/>
  <c r="AB13" i="5"/>
  <c r="X13" i="5"/>
  <c r="W13" i="5"/>
  <c r="V13" i="5"/>
  <c r="U13" i="5"/>
  <c r="T13" i="5"/>
  <c r="S13" i="5"/>
  <c r="R13" i="5"/>
  <c r="Q13" i="5"/>
  <c r="P13" i="5"/>
  <c r="AB23" i="4"/>
  <c r="X23" i="4"/>
  <c r="W23" i="4"/>
  <c r="V23" i="4"/>
  <c r="U23" i="4"/>
  <c r="S23" i="4"/>
  <c r="AB13" i="4"/>
  <c r="X13" i="4"/>
  <c r="W13" i="4"/>
  <c r="V13" i="4"/>
  <c r="U13" i="4"/>
  <c r="S13" i="4"/>
  <c r="AB8" i="4"/>
  <c r="X8" i="4"/>
  <c r="W8" i="4"/>
  <c r="V8" i="4"/>
  <c r="U8" i="4"/>
  <c r="S8" i="4"/>
  <c r="T26" i="3"/>
  <c r="P26" i="3"/>
  <c r="T24" i="3"/>
  <c r="P24" i="3"/>
  <c r="AB23" i="3"/>
  <c r="W23" i="3"/>
  <c r="AB70" i="2"/>
  <c r="X70" i="2"/>
  <c r="W70" i="2"/>
  <c r="V70" i="2"/>
  <c r="U70" i="2"/>
  <c r="S70" i="2"/>
  <c r="R70" i="2"/>
  <c r="Q70" i="2"/>
  <c r="P70" i="2"/>
  <c r="AB54" i="2"/>
  <c r="X54" i="2"/>
  <c r="W54" i="2"/>
  <c r="V54" i="2"/>
  <c r="U54" i="2"/>
  <c r="S54" i="2"/>
  <c r="AB38" i="2"/>
  <c r="X38" i="2"/>
  <c r="W38" i="2"/>
  <c r="V38" i="2"/>
  <c r="U38" i="2"/>
  <c r="S38" i="2"/>
  <c r="R38" i="2"/>
  <c r="Q38" i="2"/>
  <c r="P38" i="2"/>
  <c r="AB20" i="2"/>
  <c r="X20" i="2"/>
  <c r="W20" i="2"/>
  <c r="V20" i="2"/>
  <c r="U20" i="2"/>
  <c r="S20" i="2"/>
  <c r="R20" i="2"/>
  <c r="Q20" i="2"/>
  <c r="P20" i="2"/>
  <c r="AB9" i="2"/>
  <c r="X9" i="2"/>
  <c r="W9" i="2"/>
  <c r="V9" i="2"/>
  <c r="U9" i="2"/>
  <c r="S9" i="2"/>
  <c r="R9" i="2"/>
  <c r="Q9" i="2"/>
  <c r="P9" i="2"/>
  <c r="AB16" i="4" l="1"/>
  <c r="U16" i="4"/>
  <c r="X16" i="4"/>
  <c r="X24" i="4" s="1"/>
  <c r="X26" i="4" s="1"/>
  <c r="X29" i="4" s="1"/>
  <c r="U34" i="7"/>
  <c r="AB34" i="7"/>
  <c r="V23" i="7"/>
  <c r="V28" i="7" s="1"/>
  <c r="V32" i="7" s="1"/>
  <c r="AB23" i="7"/>
  <c r="AB28" i="7" s="1"/>
  <c r="AB32" i="7" s="1"/>
  <c r="Q77" i="2"/>
  <c r="U77" i="2"/>
  <c r="AB77" i="2"/>
  <c r="U23" i="7"/>
  <c r="U28" i="7" s="1"/>
  <c r="U32" i="7" s="1"/>
  <c r="S23" i="7"/>
  <c r="S28" i="7" s="1"/>
  <c r="S32" i="7" s="1"/>
  <c r="S8" i="6"/>
  <c r="S69" i="6" s="1"/>
  <c r="S73" i="6" s="1"/>
  <c r="W8" i="6"/>
  <c r="W69" i="6" s="1"/>
  <c r="W73" i="6" s="1"/>
  <c r="Q35" i="2"/>
  <c r="U35" i="2"/>
  <c r="AB35" i="2"/>
  <c r="S35" i="2"/>
  <c r="W35" i="2"/>
  <c r="S34" i="7"/>
  <c r="V34" i="7"/>
  <c r="P35" i="2"/>
  <c r="X35" i="2"/>
  <c r="S77" i="2"/>
  <c r="W77" i="2"/>
  <c r="R77" i="2"/>
  <c r="V77" i="2"/>
  <c r="P77" i="2"/>
  <c r="X77" i="2"/>
  <c r="U24" i="4"/>
  <c r="U26" i="4" s="1"/>
  <c r="U29" i="4" s="1"/>
  <c r="AB24" i="4"/>
  <c r="AB26" i="4" s="1"/>
  <c r="AB29" i="4" s="1"/>
  <c r="Q8" i="6"/>
  <c r="Q69" i="6" s="1"/>
  <c r="Q73" i="6" s="1"/>
  <c r="U8" i="6"/>
  <c r="U69" i="6" s="1"/>
  <c r="U73" i="6" s="1"/>
  <c r="R35" i="2"/>
  <c r="V35" i="2"/>
  <c r="S16" i="4"/>
  <c r="S24" i="4" s="1"/>
  <c r="S26" i="4" s="1"/>
  <c r="S29" i="4" s="1"/>
  <c r="W16" i="4"/>
  <c r="W24" i="4" s="1"/>
  <c r="W26" i="4" s="1"/>
  <c r="W29" i="4" s="1"/>
  <c r="V16" i="4"/>
  <c r="V24" i="4" s="1"/>
  <c r="V26" i="4" s="1"/>
  <c r="V29" i="4" s="1"/>
  <c r="R8" i="6"/>
  <c r="R69" i="6" s="1"/>
  <c r="R73" i="6" s="1"/>
  <c r="V8" i="6"/>
  <c r="V69" i="6" s="1"/>
  <c r="V73" i="6" s="1"/>
</calcChain>
</file>

<file path=xl/sharedStrings.xml><?xml version="1.0" encoding="utf-8"?>
<sst xmlns="http://schemas.openxmlformats.org/spreadsheetml/2006/main" count="805" uniqueCount="279">
  <si>
    <t>Relações com Investidores</t>
  </si>
  <si>
    <t>Balanço Patrimonial</t>
  </si>
  <si>
    <t>(Valores expressos em milhares de reais)</t>
  </si>
  <si>
    <t>12M2022</t>
  </si>
  <si>
    <t>9M2022</t>
  </si>
  <si>
    <t>6M2022</t>
  </si>
  <si>
    <t>3M2022</t>
  </si>
  <si>
    <t>12M2021</t>
  </si>
  <si>
    <t>9M2021</t>
  </si>
  <si>
    <t>6M2021</t>
  </si>
  <si>
    <t>3M2021</t>
  </si>
  <si>
    <t>12M2020</t>
  </si>
  <si>
    <t>12M2019</t>
  </si>
  <si>
    <t>Ativo</t>
  </si>
  <si>
    <t xml:space="preserve">Circulante </t>
  </si>
  <si>
    <t>Caixa e Equivalentes de Caixa</t>
  </si>
  <si>
    <t>Aplicações Financeiras</t>
  </si>
  <si>
    <t>-</t>
  </si>
  <si>
    <t>Títulos e Valores Mobiliários</t>
  </si>
  <si>
    <t>Créditos a Receber de Usuários</t>
  </si>
  <si>
    <t>Estoques</t>
  </si>
  <si>
    <t>Tributos a Recuperar</t>
  </si>
  <si>
    <t>Despesas Antecipadas e Adiantamentos</t>
  </si>
  <si>
    <t xml:space="preserve">Subdelegação </t>
  </si>
  <si>
    <t>Outras Contas a Receber</t>
  </si>
  <si>
    <t>Ativo Não Circulante Mantido p/ Venda</t>
  </si>
  <si>
    <t>Não circulante</t>
  </si>
  <si>
    <t>Depósitos Judiciais</t>
  </si>
  <si>
    <t xml:space="preserve">Despesas Antecipadas   </t>
  </si>
  <si>
    <t>Subdelegação</t>
  </si>
  <si>
    <t>Investimentos</t>
  </si>
  <si>
    <t>Imobilizado</t>
  </si>
  <si>
    <t>Imobilizado Direito de Uso</t>
  </si>
  <si>
    <t>Ativo de Contrato</t>
  </si>
  <si>
    <t>Subvenções a Receber</t>
  </si>
  <si>
    <t>Intangível</t>
  </si>
  <si>
    <t>Total do Ativo</t>
  </si>
  <si>
    <t>Passivo</t>
  </si>
  <si>
    <t>Circulante</t>
  </si>
  <si>
    <t>Empréstimos e Financiamentos</t>
  </si>
  <si>
    <t>Debêntures</t>
  </si>
  <si>
    <t>Arrendamento Mercantil</t>
  </si>
  <si>
    <t>Fornecedores</t>
  </si>
  <si>
    <t>Obrigações Trabalhistas</t>
  </si>
  <si>
    <t>Provisão PLR Empregados</t>
  </si>
  <si>
    <t>Obrigações Tributárias</t>
  </si>
  <si>
    <t>Parcelamentos</t>
  </si>
  <si>
    <t xml:space="preserve">Consórcios </t>
  </si>
  <si>
    <t>Obrigações Contratuais</t>
  </si>
  <si>
    <t>Subvenções</t>
  </si>
  <si>
    <t>Dividendos e JCP a Pagar</t>
  </si>
  <si>
    <t>Adiantamento Contratual</t>
  </si>
  <si>
    <t>Não Circulante</t>
  </si>
  <si>
    <t xml:space="preserve">Empréstimos e Financiamentos </t>
  </si>
  <si>
    <t xml:space="preserve">Debêntures </t>
  </si>
  <si>
    <t xml:space="preserve">Obrigações Trabalhistas </t>
  </si>
  <si>
    <t xml:space="preserve">Obrigações Tributárias </t>
  </si>
  <si>
    <t xml:space="preserve">Parcelamentos </t>
  </si>
  <si>
    <t>Provisão para Demandas Judiciais</t>
  </si>
  <si>
    <t>Consórcios</t>
  </si>
  <si>
    <t>Obrigações Atuariais</t>
  </si>
  <si>
    <t>Patrimonio Liquido</t>
  </si>
  <si>
    <t>Capital Social</t>
  </si>
  <si>
    <t>Reserva legal</t>
  </si>
  <si>
    <t>Reservas para Investimentos</t>
  </si>
  <si>
    <t>Ajuste de Avaliação Patrimonial</t>
  </si>
  <si>
    <t>Outros Resultados Abrangentes</t>
  </si>
  <si>
    <t>Lucro/Prejuízo Acumulado</t>
  </si>
  <si>
    <t>Total do Passivo</t>
  </si>
  <si>
    <t>Demonstração do Resultado do Exercício</t>
  </si>
  <si>
    <t>Receita Total Líquida (+)</t>
  </si>
  <si>
    <t>Pessoal (-)</t>
  </si>
  <si>
    <t>Material (-)</t>
  </si>
  <si>
    <t>Terceiros (-)</t>
  </si>
  <si>
    <t>Energia Elétrica (-)</t>
  </si>
  <si>
    <t>Gerais (-)</t>
  </si>
  <si>
    <t>Remuneração de Concessão (-)</t>
  </si>
  <si>
    <t>Fundos Municipais</t>
  </si>
  <si>
    <t>Amortização/Depreciação (-)</t>
  </si>
  <si>
    <t>Despesas Tributárias (-)</t>
  </si>
  <si>
    <t>Outras Receitas/Despesas (+/-)</t>
  </si>
  <si>
    <t>Total de custos e despesas (=)</t>
  </si>
  <si>
    <t>Resultado Financeiro (+/-)</t>
  </si>
  <si>
    <t>IRPJ e CSLL Corrente/Diferido (+/-)</t>
  </si>
  <si>
    <t>Lucro Líquido (=)</t>
  </si>
  <si>
    <t>EBTIDA</t>
  </si>
  <si>
    <t>Margem EBTIDA</t>
  </si>
  <si>
    <t>EBTIDA Ajustado</t>
  </si>
  <si>
    <t>Margem EBTIDA Ajustado</t>
  </si>
  <si>
    <t>Receitas Líquidas</t>
  </si>
  <si>
    <t>Receitas de Construção</t>
  </si>
  <si>
    <t>Receitas de Serviços Técnicos</t>
  </si>
  <si>
    <t>Outorga Subdelegação</t>
  </si>
  <si>
    <t>Custos</t>
  </si>
  <si>
    <t>Custos dos Serviços</t>
  </si>
  <si>
    <t>Custos de Construção</t>
  </si>
  <si>
    <t>Lucro Bruto</t>
  </si>
  <si>
    <t>Despesas Administrativas</t>
  </si>
  <si>
    <t>Despesas Comerciais</t>
  </si>
  <si>
    <t>Despesas Tributárias</t>
  </si>
  <si>
    <t>Provisões/Reversões - Perdas/Recup de Créditos</t>
  </si>
  <si>
    <t xml:space="preserve">Outras Despesas Operacionais </t>
  </si>
  <si>
    <t>Total Despesas</t>
  </si>
  <si>
    <t>Resultado Antes dos Tributos Sobre o Lucro</t>
  </si>
  <si>
    <t>Resultado Financeiro Líquido</t>
  </si>
  <si>
    <t>Imposto de Renda e Contribuição Social Correntes</t>
  </si>
  <si>
    <t>Imposto de Renda e Contribuição Social Diferidos</t>
  </si>
  <si>
    <t>Resultado Líquido do Exercício</t>
  </si>
  <si>
    <t>Lucro por Ação</t>
  </si>
  <si>
    <t>Demonstrações Resultados Abrangentes</t>
  </si>
  <si>
    <t>Lucro Líquido/ Prejuízo do Exercício</t>
  </si>
  <si>
    <t>Realização do Custo Atribuído, Líquido de Tributos Diferidos</t>
  </si>
  <si>
    <t>Ganho/ (Perda) Atuarial</t>
  </si>
  <si>
    <t>Resultado Abrangente do Exercício</t>
  </si>
  <si>
    <t>Demonstrações dos Fluxos de Caixa</t>
  </si>
  <si>
    <t>Caixa Líquido Gerado nas Atividades Operacionais</t>
  </si>
  <si>
    <t>Caixa Gerado nas Operações</t>
  </si>
  <si>
    <t>Lucro Líquido do Período</t>
  </si>
  <si>
    <t>Ajustes para conciliação do lucro Líquido</t>
  </si>
  <si>
    <t>Depreciações e Amortizações</t>
  </si>
  <si>
    <t xml:space="preserve">Subvenções Estaduais </t>
  </si>
  <si>
    <t>Consórcio Corumbá/ Águas Lindas</t>
  </si>
  <si>
    <t>Ajuste a Valor Presente AVP - Créditos a Receber</t>
  </si>
  <si>
    <t>Tributos Diferidos - IRPJ/CSLL</t>
  </si>
  <si>
    <t>Encargos Sobre Empréstimos, Financiamentos e Arrendamentos</t>
  </si>
  <si>
    <t>Juros Capitalizados</t>
  </si>
  <si>
    <t>Correção Monetária - Venda de Ativo não circulante</t>
  </si>
  <si>
    <t>Perdas e Provisão/Reversão de Créditos de Liquidação Duvidosa Líquidas</t>
  </si>
  <si>
    <t>Ganho na Venda de Ativo não circ mantidos para venda</t>
  </si>
  <si>
    <t>Variações nos Ativos e Passivos</t>
  </si>
  <si>
    <t>Despesas Antecipadas e Adiantamento a Empregados</t>
  </si>
  <si>
    <t xml:space="preserve">Ajuste de Avaliação Patrimonial </t>
  </si>
  <si>
    <t>Outros</t>
  </si>
  <si>
    <t>Outras Contas a Pagar</t>
  </si>
  <si>
    <t>Caixa Líquido Consumido nas Atividades de Investimento</t>
  </si>
  <si>
    <t>Aquisição no Imobilizado</t>
  </si>
  <si>
    <t>Aquisição no Intangível</t>
  </si>
  <si>
    <t xml:space="preserve">Títulos e Valores Mobiliários </t>
  </si>
  <si>
    <t>Aquisição de estoque para obras</t>
  </si>
  <si>
    <t xml:space="preserve">Adiantamento a fornecedores </t>
  </si>
  <si>
    <t>Venda de Investimentos em Ações</t>
  </si>
  <si>
    <t>Recebimento na Alienação de Imobilizado</t>
  </si>
  <si>
    <t>Caixa Líquido Gerado/(consumido) nas Atividades de Financiamento</t>
  </si>
  <si>
    <t>Integralização de Capital</t>
  </si>
  <si>
    <t>Financiamentos/Empréstimos Captados</t>
  </si>
  <si>
    <t>Amortização de Empréstimos e Financiamentos</t>
  </si>
  <si>
    <t>Pagamentos de Encargos Financeiros Sobre Captação de Recursos</t>
  </si>
  <si>
    <t xml:space="preserve">Títulos e Valores Mobiliários - FDIC </t>
  </si>
  <si>
    <t>Devolução Recurso para União</t>
  </si>
  <si>
    <t>Pagamentos de Juros Sobre Capital Próprio</t>
  </si>
  <si>
    <t xml:space="preserve">Subvenções Estadual </t>
  </si>
  <si>
    <t>Aumento/(Redução )Líquido de Caixa e Equivalentes de Caixa</t>
  </si>
  <si>
    <t>Saldo Inicial de Caixa e Equivalentes</t>
  </si>
  <si>
    <t>Saldo Final de Caixa e Equivalentes</t>
  </si>
  <si>
    <t>Demonstrações dos Valores Adicionados</t>
  </si>
  <si>
    <t>Receitas</t>
  </si>
  <si>
    <t>Vendas de Mercadorias, Produtos e Serviços</t>
  </si>
  <si>
    <t>Receita de Construção</t>
  </si>
  <si>
    <t>Provisão Para Créditos de Liquidação Duvidosa / Reversão</t>
  </si>
  <si>
    <t>Prescrição/Recuperação de Créditos</t>
  </si>
  <si>
    <t>Outras Receitas</t>
  </si>
  <si>
    <t>Insumos Adquiridos de Terceiros</t>
  </si>
  <si>
    <t>Custo das Mercadorias e Serviços Vendidos</t>
  </si>
  <si>
    <t xml:space="preserve">Matérias Primas Consumidas </t>
  </si>
  <si>
    <t xml:space="preserve">Energia, Serviços de Terceiros </t>
  </si>
  <si>
    <t>Custo de Construção</t>
  </si>
  <si>
    <t>Provisão/Reversão Perdas Estoque</t>
  </si>
  <si>
    <t>Outras Despesas</t>
  </si>
  <si>
    <t>Valor Adicionado Bruto</t>
  </si>
  <si>
    <t>Retenções</t>
  </si>
  <si>
    <t>Depreciação/Amortização</t>
  </si>
  <si>
    <t>Provisões/Reversões</t>
  </si>
  <si>
    <t>Valor Adicionado Líquido</t>
  </si>
  <si>
    <t>Valor Adicionado Recebido em Transferência</t>
  </si>
  <si>
    <t>Receitas Financeiras</t>
  </si>
  <si>
    <t>Valor Adicionado Total a Distribuir</t>
  </si>
  <si>
    <t>Distribuição do Valor Adicionado</t>
  </si>
  <si>
    <t>Pessoal e Encargos</t>
  </si>
  <si>
    <t>Remuneração Direta</t>
  </si>
  <si>
    <t>FGTS</t>
  </si>
  <si>
    <t>Benefícios</t>
  </si>
  <si>
    <t>Impostos, Taxas e Contribuições</t>
  </si>
  <si>
    <t>Federal</t>
  </si>
  <si>
    <t>Federal – IRPJ /CSLL Diferidos</t>
  </si>
  <si>
    <t>Estadual</t>
  </si>
  <si>
    <t>Municipal</t>
  </si>
  <si>
    <t>Remuneração de Capitais de Terceiros</t>
  </si>
  <si>
    <t>Juros</t>
  </si>
  <si>
    <t>Aluguéis</t>
  </si>
  <si>
    <t>Remuneração de Capitais Próprio</t>
  </si>
  <si>
    <t>Lucro do exercício</t>
  </si>
  <si>
    <t>Dados Operacionais</t>
  </si>
  <si>
    <t>OPERACIONAL</t>
  </si>
  <si>
    <t>Unid.</t>
  </si>
  <si>
    <t>9M2020</t>
  </si>
  <si>
    <t>6M2020</t>
  </si>
  <si>
    <t>3M2020</t>
  </si>
  <si>
    <t>9M2019</t>
  </si>
  <si>
    <t>6M2019</t>
  </si>
  <si>
    <t>3M2019</t>
  </si>
  <si>
    <t>ÁGUA</t>
  </si>
  <si>
    <t>População Atendida</t>
  </si>
  <si>
    <t>Mil.</t>
  </si>
  <si>
    <t>Índice de Atendimento</t>
  </si>
  <si>
    <t>%</t>
  </si>
  <si>
    <t>Ligações</t>
  </si>
  <si>
    <t>Economias</t>
  </si>
  <si>
    <t>Extensão de Rede</t>
  </si>
  <si>
    <t>Km</t>
  </si>
  <si>
    <t>Volume Faturado</t>
  </si>
  <si>
    <t>mil m³</t>
  </si>
  <si>
    <t>Volume Produzido</t>
  </si>
  <si>
    <t>ESGOTO</t>
  </si>
  <si>
    <t>Índice de Atendimento (Tratado)</t>
  </si>
  <si>
    <t>Volume Tratado</t>
  </si>
  <si>
    <t>DESEMPENHO</t>
  </si>
  <si>
    <t>Quantidade de empregados</t>
  </si>
  <si>
    <t>N°</t>
  </si>
  <si>
    <t>Ligações/Empregado</t>
  </si>
  <si>
    <t>Economias/Empregado</t>
  </si>
  <si>
    <t>Índice de Perdas</t>
  </si>
  <si>
    <t>CONTRATOS</t>
  </si>
  <si>
    <t>Municípios Atendidos</t>
  </si>
  <si>
    <t>Municípios com contrato de programa</t>
  </si>
  <si>
    <t>Municípios com contrato de concessão</t>
  </si>
  <si>
    <t xml:space="preserve">Arrecadação </t>
  </si>
  <si>
    <t>REAJUSTE TARIFÁRIO ANUAL (% Percetual)</t>
  </si>
  <si>
    <t>Reajuste Tarifário Anual</t>
  </si>
  <si>
    <t>MIG 112 - Sistema em Operação</t>
  </si>
  <si>
    <t>POP. ATENDIDA</t>
  </si>
  <si>
    <t>EXT. REDE</t>
  </si>
  <si>
    <t>LIGAÇÕES</t>
  </si>
  <si>
    <t>ECONOMIAS</t>
  </si>
  <si>
    <t>% POP ESG TRAT</t>
  </si>
  <si>
    <t>PRODUZIDO</t>
  </si>
  <si>
    <t>MEDIDO</t>
  </si>
  <si>
    <t>NÃO MEDIDO</t>
  </si>
  <si>
    <t>FATURADO</t>
  </si>
  <si>
    <t>TRATADO</t>
  </si>
  <si>
    <t>Água - Indicadores Operacionais</t>
  </si>
  <si>
    <t>Esgoto- Indicadores Operacionais</t>
  </si>
  <si>
    <t>Indicadores de Desempenho</t>
  </si>
  <si>
    <t>Contratos de Programa de Concessão</t>
  </si>
  <si>
    <t>Municípios Antendidos</t>
  </si>
  <si>
    <t>Municípios com contrato de concessão -Ativos</t>
  </si>
  <si>
    <t>Municípios com contrato de concessão -Vencidos</t>
  </si>
  <si>
    <t>3M2023</t>
  </si>
  <si>
    <t>Tributos Diferidos Passivos</t>
  </si>
  <si>
    <t>Rendimentos de Aplicações Finaneiras</t>
  </si>
  <si>
    <t>Provisões/Reversões (+/-)</t>
  </si>
  <si>
    <t>6M2023</t>
  </si>
  <si>
    <t xml:space="preserve">Tributos a Recuperar  </t>
  </si>
  <si>
    <t>Tributos Diferidos</t>
  </si>
  <si>
    <t xml:space="preserve">Baixas Investimento Imobilizado e Intangível/Ajuste de Inventário </t>
  </si>
  <si>
    <t>9M2023</t>
  </si>
  <si>
    <t>12M2023</t>
  </si>
  <si>
    <t>Municípios com Prestação Direta *</t>
  </si>
  <si>
    <t>3M2024</t>
  </si>
  <si>
    <t>Outras Receitas/Despesas Operacionais/Provisões/Reversões</t>
  </si>
  <si>
    <t>Juros Sobre Capital Próprio / Dividendos</t>
  </si>
  <si>
    <t>6M2024</t>
  </si>
  <si>
    <t xml:space="preserve">Ajustes Subvenções </t>
  </si>
  <si>
    <t>9M2024</t>
  </si>
  <si>
    <t>12M2024</t>
  </si>
  <si>
    <t xml:space="preserve">Resultado Antes do Resultado Financeiro </t>
  </si>
  <si>
    <t>3M2025</t>
  </si>
  <si>
    <t xml:space="preserve">                -  </t>
  </si>
  <si>
    <t>Outras Contas</t>
  </si>
  <si>
    <t xml:space="preserve"> -</t>
  </si>
  <si>
    <t>6M2025</t>
  </si>
  <si>
    <t>9M2025</t>
  </si>
  <si>
    <t>Receitas de Serviços de Água e Esgoto / Outorga</t>
  </si>
  <si>
    <r>
      <t xml:space="preserve">Receitas de Serviços Técnicos </t>
    </r>
    <r>
      <rPr>
        <sz val="8"/>
        <color rgb="FF000000"/>
        <rFont val="Calibri"/>
        <family val="2"/>
      </rPr>
      <t>(*rubrica descontinuada em 2025)</t>
    </r>
  </si>
  <si>
    <r>
      <t xml:space="preserve">Outorga Subdelegação </t>
    </r>
    <r>
      <rPr>
        <sz val="8"/>
        <color rgb="FF000000"/>
        <rFont val="Calibri"/>
        <family val="2"/>
      </rPr>
      <t>(*rubrica descontinuada em 2025)</t>
    </r>
  </si>
  <si>
    <t>12M2025</t>
  </si>
  <si>
    <t>3M2026</t>
  </si>
  <si>
    <t>Fornecedores de Investimentos</t>
  </si>
  <si>
    <t>FATURAMENTO (Valores expressos em milhares de reais)</t>
  </si>
  <si>
    <t>6M2026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</si>
</sst>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\-??_-;_-@_-"/>
    <numFmt numFmtId="165" formatCode="_-* #,##0_-;\-* #,##0_-;_-* \-??_-;_-@_-"/>
    <numFmt numFmtId="166" formatCode="#,##0.0000"/>
    <numFmt numFmtId="167" formatCode="#,##0.0"/>
    <numFmt numFmtId="168" formatCode="#0.0"/>
    <numFmt numFmtId="169" formatCode="_-* #,##0.0000_-;\-* #,##0.0000_-;_-* \-??_-;_-@_-"/>
    <numFmt numFmtId="170" formatCode="#,##0.00000"/>
    <numFmt numFmtId="171" formatCode="0.00000000"/>
  </numFmts>
  <fonts count="32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color rgb="FFFFFFFF"/>
      <name val="Arial"/>
      <family val="2"/>
      <charset val="1"/>
    </font>
    <font>
      <b/>
      <sz val="11"/>
      <color rgb="FFFFFFFF"/>
      <name val="Calibri"/>
      <family val="2"/>
      <charset val="1"/>
    </font>
    <font>
      <b/>
      <sz val="24"/>
      <color rgb="FF0099C2"/>
      <name val="Calibri"/>
      <family val="2"/>
      <charset val="1"/>
    </font>
    <font>
      <b/>
      <sz val="28"/>
      <color rgb="FF0099C2"/>
      <name val="Calibri"/>
      <family val="2"/>
      <charset val="1"/>
    </font>
    <font>
      <b/>
      <sz val="28"/>
      <color rgb="FF4472C4"/>
      <name val="Calibri"/>
      <family val="2"/>
      <charset val="1"/>
    </font>
    <font>
      <sz val="11"/>
      <color rgb="FF0099C2"/>
      <name val="Calibri"/>
      <family val="2"/>
      <charset val="1"/>
    </font>
    <font>
      <b/>
      <sz val="18"/>
      <color rgb="FF0099C2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Arial"/>
      <family val="2"/>
      <charset val="1"/>
    </font>
    <font>
      <sz val="11"/>
      <color rgb="FFFFFFFF"/>
      <name val="Calibri"/>
      <family val="2"/>
      <charset val="1"/>
    </font>
    <font>
      <sz val="28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7"/>
      <color rgb="FFFFFFFF"/>
      <name val="Tahoma"/>
      <family val="2"/>
      <charset val="1"/>
    </font>
    <font>
      <sz val="17"/>
      <color rgb="FF575756"/>
      <name val="Tahoma"/>
      <family val="2"/>
      <charset val="1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b/>
      <sz val="28"/>
      <name val="Calibri"/>
      <family val="2"/>
      <charset val="1"/>
    </font>
    <font>
      <b/>
      <sz val="11"/>
      <color rgb="FF000000"/>
      <name val="Calibri"/>
      <family val="2"/>
    </font>
    <font>
      <sz val="11"/>
      <name val="Calibri"/>
      <family val="2"/>
    </font>
    <font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</font>
    <font>
      <sz val="8"/>
      <name val="Calibri"/>
      <family val="2"/>
      <charset val="1"/>
    </font>
    <font>
      <sz val="8"/>
      <color rgb="FF000000"/>
      <name val="Calibri"/>
      <family val="2"/>
    </font>
    <font>
      <sz val="8"/>
      <color rgb="FF808080"/>
      <name val="Lato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0099C2"/>
        <bgColor rgb="FF008080"/>
      </patternFill>
    </fill>
    <fill>
      <patternFill patternType="solid">
        <fgColor rgb="FFEDEDED"/>
        <bgColor rgb="FFF2F2F2"/>
      </patternFill>
    </fill>
    <fill>
      <patternFill patternType="solid">
        <fgColor rgb="FFF2F2F2"/>
        <bgColor rgb="FFEDEDED"/>
      </patternFill>
    </fill>
    <fill>
      <patternFill patternType="solid">
        <fgColor rgb="FFD9D9D9"/>
        <bgColor rgb="FFE6E6E6"/>
      </patternFill>
    </fill>
    <fill>
      <patternFill patternType="solid">
        <fgColor rgb="FF2BBFCF"/>
        <bgColor rgb="FF00CCFF"/>
      </patternFill>
    </fill>
    <fill>
      <patternFill patternType="solid">
        <fgColor rgb="FFE6E6E6"/>
        <bgColor rgb="FFEDEDED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hair">
        <color rgb="FFFFFFFF"/>
      </right>
      <top/>
      <bottom/>
      <diagonal/>
    </border>
    <border>
      <left/>
      <right/>
      <top/>
      <bottom style="hair">
        <color rgb="FFFFFFFF"/>
      </bottom>
      <diagonal/>
    </border>
    <border>
      <left/>
      <right style="hair">
        <color rgb="FFFFFFFF"/>
      </right>
      <top/>
      <bottom style="hair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6">
    <xf numFmtId="0" fontId="0" fillId="0" borderId="0"/>
    <xf numFmtId="164" fontId="19" fillId="0" borderId="0" applyBorder="0" applyProtection="0"/>
    <xf numFmtId="9" fontId="19" fillId="0" borderId="0" applyBorder="0" applyProtection="0"/>
    <xf numFmtId="0" fontId="1" fillId="0" borderId="0"/>
    <xf numFmtId="0" fontId="19" fillId="0" borderId="0"/>
    <xf numFmtId="0" fontId="1" fillId="0" borderId="0"/>
    <xf numFmtId="0" fontId="19" fillId="0" borderId="0"/>
    <xf numFmtId="9" fontId="19" fillId="0" borderId="0" applyBorder="0" applyProtection="0"/>
    <xf numFmtId="9" fontId="19" fillId="0" borderId="0" applyBorder="0" applyProtection="0"/>
    <xf numFmtId="164" fontId="19" fillId="0" borderId="0" applyBorder="0" applyProtection="0"/>
    <xf numFmtId="164" fontId="19" fillId="0" borderId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</cellStyleXfs>
  <cellXfs count="18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1" xfId="0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/>
    <xf numFmtId="0" fontId="5" fillId="2" borderId="0" xfId="0" applyFont="1" applyFill="1" applyAlignment="1">
      <alignment horizontal="left" vertical="center"/>
    </xf>
    <xf numFmtId="0" fontId="7" fillId="2" borderId="0" xfId="0" applyFont="1" applyFill="1"/>
    <xf numFmtId="0" fontId="8" fillId="2" borderId="0" xfId="0" applyFont="1" applyFill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left" vertical="center"/>
    </xf>
    <xf numFmtId="0" fontId="10" fillId="3" borderId="0" xfId="0" applyFont="1" applyFill="1"/>
    <xf numFmtId="49" fontId="10" fillId="3" borderId="6" xfId="0" applyNumberFormat="1" applyFont="1" applyFill="1" applyBorder="1" applyAlignment="1">
      <alignment horizontal="left" vertical="center"/>
    </xf>
    <xf numFmtId="165" fontId="10" fillId="3" borderId="0" xfId="1" applyNumberFormat="1" applyFont="1" applyFill="1" applyBorder="1" applyAlignment="1" applyProtection="1">
      <alignment horizontal="center" vertical="center"/>
    </xf>
    <xf numFmtId="3" fontId="0" fillId="2" borderId="0" xfId="0" applyNumberFormat="1" applyFill="1"/>
    <xf numFmtId="49" fontId="0" fillId="4" borderId="6" xfId="0" applyNumberFormat="1" applyFill="1" applyBorder="1" applyAlignment="1">
      <alignment horizontal="left" vertical="center"/>
    </xf>
    <xf numFmtId="165" fontId="0" fillId="4" borderId="0" xfId="1" applyNumberFormat="1" applyFont="1" applyFill="1" applyBorder="1" applyAlignment="1" applyProtection="1">
      <alignment horizontal="center" vertical="center"/>
    </xf>
    <xf numFmtId="49" fontId="0" fillId="2" borderId="6" xfId="0" applyNumberFormat="1" applyFill="1" applyBorder="1" applyAlignment="1">
      <alignment horizontal="left" vertical="center"/>
    </xf>
    <xf numFmtId="165" fontId="0" fillId="2" borderId="0" xfId="1" applyNumberFormat="1" applyFont="1" applyFill="1" applyBorder="1" applyAlignment="1" applyProtection="1">
      <alignment horizontal="center" vertical="center"/>
    </xf>
    <xf numFmtId="49" fontId="11" fillId="3" borderId="6" xfId="0" applyNumberFormat="1" applyFont="1" applyFill="1" applyBorder="1" applyAlignment="1">
      <alignment horizontal="left" vertical="center"/>
    </xf>
    <xf numFmtId="165" fontId="11" fillId="3" borderId="0" xfId="1" applyNumberFormat="1" applyFont="1" applyFill="1" applyBorder="1" applyAlignment="1" applyProtection="1">
      <alignment horizontal="center" vertical="center"/>
    </xf>
    <xf numFmtId="49" fontId="12" fillId="2" borderId="6" xfId="0" applyNumberFormat="1" applyFont="1" applyFill="1" applyBorder="1" applyAlignment="1">
      <alignment horizontal="left" vertical="center"/>
    </xf>
    <xf numFmtId="49" fontId="11" fillId="3" borderId="7" xfId="0" applyNumberFormat="1" applyFont="1" applyFill="1" applyBorder="1" applyAlignment="1">
      <alignment horizontal="left" vertical="center"/>
    </xf>
    <xf numFmtId="3" fontId="0" fillId="0" borderId="0" xfId="0" applyNumberFormat="1"/>
    <xf numFmtId="49" fontId="11" fillId="3" borderId="0" xfId="0" applyNumberFormat="1" applyFont="1" applyFill="1" applyAlignment="1">
      <alignment horizontal="left" vertical="center"/>
    </xf>
    <xf numFmtId="49" fontId="0" fillId="5" borderId="0" xfId="0" applyNumberFormat="1" applyFill="1"/>
    <xf numFmtId="165" fontId="0" fillId="5" borderId="0" xfId="1" applyNumberFormat="1" applyFont="1" applyFill="1" applyBorder="1" applyAlignment="1" applyProtection="1">
      <alignment horizontal="center" vertical="center"/>
    </xf>
    <xf numFmtId="0" fontId="13" fillId="0" borderId="8" xfId="0" applyFont="1" applyBorder="1" applyAlignment="1">
      <alignment horizontal="center" wrapText="1"/>
    </xf>
    <xf numFmtId="165" fontId="19" fillId="0" borderId="0" xfId="1" applyNumberFormat="1" applyBorder="1" applyProtection="1"/>
    <xf numFmtId="49" fontId="0" fillId="2" borderId="0" xfId="0" applyNumberFormat="1" applyFill="1"/>
    <xf numFmtId="49" fontId="12" fillId="5" borderId="0" xfId="0" applyNumberFormat="1" applyFont="1" applyFill="1"/>
    <xf numFmtId="10" fontId="0" fillId="2" borderId="0" xfId="2" applyNumberFormat="1" applyFont="1" applyFill="1" applyBorder="1" applyAlignment="1" applyProtection="1">
      <alignment vertical="center"/>
    </xf>
    <xf numFmtId="165" fontId="0" fillId="5" borderId="0" xfId="1" applyNumberFormat="1" applyFont="1" applyFill="1" applyBorder="1" applyAlignment="1" applyProtection="1">
      <alignment horizontal="right" vertical="center"/>
    </xf>
    <xf numFmtId="10" fontId="0" fillId="2" borderId="0" xfId="2" applyNumberFormat="1" applyFont="1" applyFill="1" applyBorder="1" applyAlignment="1" applyProtection="1">
      <alignment horizontal="right" vertical="center"/>
    </xf>
    <xf numFmtId="165" fontId="0" fillId="0" borderId="0" xfId="0" applyNumberFormat="1"/>
    <xf numFmtId="0" fontId="0" fillId="0" borderId="0" xfId="0" applyAlignment="1">
      <alignment horizontal="center"/>
    </xf>
    <xf numFmtId="165" fontId="0" fillId="2" borderId="0" xfId="0" applyNumberFormat="1" applyFill="1"/>
    <xf numFmtId="165" fontId="0" fillId="2" borderId="0" xfId="1" applyNumberFormat="1" applyFont="1" applyFill="1" applyBorder="1" applyAlignment="1" applyProtection="1">
      <alignment horizontal="right" vertical="center"/>
    </xf>
    <xf numFmtId="166" fontId="0" fillId="2" borderId="0" xfId="1" applyNumberFormat="1" applyFont="1" applyFill="1" applyBorder="1" applyAlignment="1" applyProtection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49" fontId="11" fillId="3" borderId="5" xfId="0" applyNumberFormat="1" applyFont="1" applyFill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49" fontId="0" fillId="5" borderId="6" xfId="0" applyNumberFormat="1" applyFill="1" applyBorder="1" applyAlignment="1">
      <alignment horizontal="left"/>
    </xf>
    <xf numFmtId="49" fontId="11" fillId="0" borderId="6" xfId="0" applyNumberFormat="1" applyFont="1" applyBorder="1" applyAlignment="1">
      <alignment horizontal="left"/>
    </xf>
    <xf numFmtId="165" fontId="0" fillId="0" borderId="0" xfId="1" applyNumberFormat="1" applyFont="1" applyBorder="1" applyAlignment="1" applyProtection="1">
      <alignment horizontal="center" vertical="center"/>
    </xf>
    <xf numFmtId="49" fontId="0" fillId="0" borderId="6" xfId="0" applyNumberFormat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2" borderId="0" xfId="0" applyFill="1" applyAlignment="1">
      <alignment horizontal="left"/>
    </xf>
    <xf numFmtId="165" fontId="0" fillId="2" borderId="0" xfId="1" applyNumberFormat="1" applyFont="1" applyFill="1" applyBorder="1" applyProtection="1"/>
    <xf numFmtId="0" fontId="0" fillId="5" borderId="0" xfId="0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165" fontId="14" fillId="2" borderId="0" xfId="1" applyNumberFormat="1" applyFont="1" applyFill="1" applyBorder="1" applyAlignment="1" applyProtection="1">
      <alignment horizontal="center" vertic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12" fillId="5" borderId="0" xfId="4" applyNumberFormat="1" applyFont="1" applyFill="1"/>
    <xf numFmtId="165" fontId="12" fillId="5" borderId="0" xfId="1" applyNumberFormat="1" applyFont="1" applyFill="1" applyBorder="1" applyAlignment="1" applyProtection="1">
      <alignment horizontal="center" vertical="center"/>
    </xf>
    <xf numFmtId="49" fontId="12" fillId="2" borderId="0" xfId="4" applyNumberFormat="1" applyFont="1" applyFill="1"/>
    <xf numFmtId="165" fontId="12" fillId="2" borderId="0" xfId="1" applyNumberFormat="1" applyFont="1" applyFill="1" applyBorder="1" applyAlignment="1" applyProtection="1">
      <alignment horizontal="center" vertical="center"/>
    </xf>
    <xf numFmtId="49" fontId="12" fillId="0" borderId="0" xfId="4" applyNumberFormat="1" applyFont="1"/>
    <xf numFmtId="0" fontId="15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49" fontId="3" fillId="3" borderId="4" xfId="0" applyNumberFormat="1" applyFont="1" applyFill="1" applyBorder="1" applyAlignment="1">
      <alignment horizontal="left" vertical="center"/>
    </xf>
    <xf numFmtId="165" fontId="3" fillId="3" borderId="4" xfId="1" applyNumberFormat="1" applyFont="1" applyFill="1" applyBorder="1" applyAlignment="1" applyProtection="1">
      <alignment horizontal="center" vertical="center"/>
    </xf>
    <xf numFmtId="49" fontId="3" fillId="3" borderId="0" xfId="0" applyNumberFormat="1" applyFont="1" applyFill="1" applyAlignment="1">
      <alignment horizontal="left" vertical="center"/>
    </xf>
    <xf numFmtId="165" fontId="3" fillId="3" borderId="0" xfId="1" applyNumberFormat="1" applyFont="1" applyFill="1" applyBorder="1" applyAlignment="1" applyProtection="1">
      <alignment horizontal="center" vertical="center"/>
    </xf>
    <xf numFmtId="165" fontId="3" fillId="3" borderId="0" xfId="1" applyNumberFormat="1" applyFont="1" applyFill="1" applyBorder="1" applyAlignment="1" applyProtection="1">
      <alignment vertical="center"/>
    </xf>
    <xf numFmtId="165" fontId="12" fillId="5" borderId="0" xfId="1" applyNumberFormat="1" applyFont="1" applyFill="1" applyBorder="1" applyAlignment="1" applyProtection="1">
      <alignment vertical="center"/>
    </xf>
    <xf numFmtId="10" fontId="12" fillId="2" borderId="0" xfId="2" applyNumberFormat="1" applyFont="1" applyFill="1" applyBorder="1" applyAlignment="1" applyProtection="1">
      <alignment horizontal="right" vertical="center"/>
    </xf>
    <xf numFmtId="10" fontId="12" fillId="2" borderId="0" xfId="2" applyNumberFormat="1" applyFont="1" applyFill="1" applyBorder="1" applyAlignment="1" applyProtection="1">
      <alignment vertical="center"/>
    </xf>
    <xf numFmtId="165" fontId="12" fillId="2" borderId="0" xfId="1" applyNumberFormat="1" applyFont="1" applyFill="1" applyBorder="1" applyAlignment="1" applyProtection="1">
      <alignment vertical="center"/>
    </xf>
    <xf numFmtId="165" fontId="0" fillId="2" borderId="0" xfId="1" applyNumberFormat="1" applyFont="1" applyFill="1" applyBorder="1" applyAlignment="1" applyProtection="1">
      <alignment vertical="center"/>
    </xf>
    <xf numFmtId="10" fontId="0" fillId="0" borderId="0" xfId="2" applyNumberFormat="1" applyFont="1" applyBorder="1" applyAlignment="1" applyProtection="1">
      <alignment horizontal="right" vertical="center"/>
    </xf>
    <xf numFmtId="10" fontId="12" fillId="2" borderId="0" xfId="1" applyNumberFormat="1" applyFont="1" applyFill="1" applyBorder="1" applyAlignment="1" applyProtection="1">
      <alignment horizontal="right" vertical="center"/>
    </xf>
    <xf numFmtId="10" fontId="12" fillId="5" borderId="0" xfId="2" applyNumberFormat="1" applyFont="1" applyFill="1" applyBorder="1" applyAlignment="1" applyProtection="1">
      <alignment horizontal="right" vertical="center"/>
    </xf>
    <xf numFmtId="10" fontId="12" fillId="2" borderId="0" xfId="2" applyNumberFormat="1" applyFont="1" applyFill="1" applyBorder="1" applyAlignment="1" applyProtection="1">
      <alignment horizontal="center" vertical="center"/>
    </xf>
    <xf numFmtId="165" fontId="0" fillId="5" borderId="0" xfId="1" applyNumberFormat="1" applyFont="1" applyFill="1" applyBorder="1" applyAlignment="1" applyProtection="1">
      <alignment vertical="center"/>
    </xf>
    <xf numFmtId="165" fontId="0" fillId="0" borderId="0" xfId="1" applyNumberFormat="1" applyFont="1" applyBorder="1" applyAlignment="1" applyProtection="1">
      <alignment horizontal="center"/>
    </xf>
    <xf numFmtId="165" fontId="0" fillId="0" borderId="0" xfId="1" applyNumberFormat="1" applyFont="1" applyBorder="1" applyAlignment="1" applyProtection="1">
      <alignment horizontal="right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3" fontId="16" fillId="2" borderId="13" xfId="0" applyNumberFormat="1" applyFont="1" applyFill="1" applyBorder="1" applyAlignment="1">
      <alignment horizontal="right" vertical="center" wrapText="1"/>
    </xf>
    <xf numFmtId="167" fontId="16" fillId="2" borderId="13" xfId="0" applyNumberFormat="1" applyFont="1" applyFill="1" applyBorder="1" applyAlignment="1">
      <alignment horizontal="right" vertical="center" wrapText="1"/>
    </xf>
    <xf numFmtId="168" fontId="16" fillId="2" borderId="13" xfId="0" applyNumberFormat="1" applyFont="1" applyFill="1" applyBorder="1" applyAlignment="1">
      <alignment horizontal="right" vertical="center" wrapText="1"/>
    </xf>
    <xf numFmtId="3" fontId="16" fillId="2" borderId="13" xfId="0" applyNumberFormat="1" applyFont="1" applyFill="1" applyBorder="1" applyAlignment="1">
      <alignment horizontal="right" vertical="top" wrapText="1"/>
    </xf>
    <xf numFmtId="4" fontId="16" fillId="2" borderId="13" xfId="0" applyNumberFormat="1" applyFont="1" applyFill="1" applyBorder="1" applyAlignment="1">
      <alignment horizontal="right" vertical="top" wrapText="1"/>
    </xf>
    <xf numFmtId="0" fontId="17" fillId="7" borderId="13" xfId="0" applyFont="1" applyFill="1" applyBorder="1" applyAlignment="1">
      <alignment horizontal="center" vertical="center" wrapText="1"/>
    </xf>
    <xf numFmtId="0" fontId="18" fillId="8" borderId="13" xfId="0" applyFont="1" applyFill="1" applyBorder="1" applyAlignment="1">
      <alignment horizontal="center" vertical="center" wrapText="1"/>
    </xf>
    <xf numFmtId="3" fontId="18" fillId="8" borderId="13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0" fontId="18" fillId="0" borderId="13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10" fontId="18" fillId="8" borderId="13" xfId="0" applyNumberFormat="1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vertical="center" wrapText="1"/>
    </xf>
    <xf numFmtId="0" fontId="18" fillId="8" borderId="13" xfId="0" applyFont="1" applyFill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49" fontId="20" fillId="3" borderId="0" xfId="0" applyNumberFormat="1" applyFont="1" applyFill="1" applyAlignment="1">
      <alignment horizontal="left" vertical="center"/>
    </xf>
    <xf numFmtId="165" fontId="20" fillId="3" borderId="0" xfId="1" applyNumberFormat="1" applyFont="1" applyFill="1" applyBorder="1" applyAlignment="1" applyProtection="1">
      <alignment horizontal="center" vertical="center"/>
    </xf>
    <xf numFmtId="49" fontId="21" fillId="2" borderId="0" xfId="0" applyNumberFormat="1" applyFont="1" applyFill="1"/>
    <xf numFmtId="0" fontId="21" fillId="2" borderId="0" xfId="0" applyFont="1" applyFill="1"/>
    <xf numFmtId="0" fontId="21" fillId="0" borderId="0" xfId="0" applyFont="1"/>
    <xf numFmtId="0" fontId="0" fillId="0" borderId="0" xfId="0" applyAlignment="1">
      <alignment wrapText="1"/>
    </xf>
    <xf numFmtId="49" fontId="26" fillId="3" borderId="0" xfId="0" applyNumberFormat="1" applyFont="1" applyFill="1" applyAlignment="1">
      <alignment horizontal="left" vertical="center"/>
    </xf>
    <xf numFmtId="165" fontId="26" fillId="3" borderId="0" xfId="1" applyNumberFormat="1" applyFont="1" applyFill="1" applyBorder="1" applyAlignment="1" applyProtection="1">
      <alignment horizontal="center" vertical="center"/>
    </xf>
    <xf numFmtId="0" fontId="27" fillId="0" borderId="0" xfId="0" applyFont="1"/>
    <xf numFmtId="49" fontId="25" fillId="5" borderId="0" xfId="4" applyNumberFormat="1" applyFont="1" applyFill="1"/>
    <xf numFmtId="165" fontId="27" fillId="5" borderId="0" xfId="1" applyNumberFormat="1" applyFont="1" applyFill="1" applyBorder="1" applyAlignment="1" applyProtection="1">
      <alignment horizontal="center" vertical="center"/>
    </xf>
    <xf numFmtId="0" fontId="12" fillId="0" borderId="0" xfId="0" applyFont="1"/>
    <xf numFmtId="165" fontId="0" fillId="0" borderId="0" xfId="0" applyNumberFormat="1" applyAlignment="1">
      <alignment horizontal="center"/>
    </xf>
    <xf numFmtId="165" fontId="1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24" fillId="0" borderId="0" xfId="0" applyFont="1"/>
    <xf numFmtId="49" fontId="0" fillId="0" borderId="6" xfId="0" applyNumberFormat="1" applyBorder="1" applyAlignment="1">
      <alignment horizontal="left" vertical="center"/>
    </xf>
    <xf numFmtId="3" fontId="23" fillId="0" borderId="0" xfId="0" applyNumberFormat="1" applyFont="1"/>
    <xf numFmtId="0" fontId="23" fillId="0" borderId="0" xfId="0" applyFont="1"/>
    <xf numFmtId="0" fontId="22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12" fillId="0" borderId="0" xfId="0" applyFont="1" applyAlignment="1">
      <alignment horizontal="left"/>
    </xf>
    <xf numFmtId="165" fontId="0" fillId="0" borderId="0" xfId="1" applyNumberFormat="1" applyFont="1" applyBorder="1" applyProtection="1"/>
    <xf numFmtId="165" fontId="12" fillId="0" borderId="0" xfId="1" applyNumberFormat="1" applyFont="1" applyBorder="1" applyProtection="1"/>
    <xf numFmtId="0" fontId="6" fillId="0" borderId="0" xfId="0" applyFont="1" applyAlignment="1">
      <alignment horizontal="center" vertical="center"/>
    </xf>
    <xf numFmtId="164" fontId="19" fillId="0" borderId="0" xfId="1"/>
    <xf numFmtId="0" fontId="5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49" fontId="28" fillId="4" borderId="6" xfId="0" applyNumberFormat="1" applyFont="1" applyFill="1" applyBorder="1" applyAlignment="1">
      <alignment horizontal="left" vertical="center"/>
    </xf>
    <xf numFmtId="165" fontId="28" fillId="4" borderId="0" xfId="1" applyNumberFormat="1" applyFont="1" applyFill="1" applyBorder="1" applyAlignment="1" applyProtection="1">
      <alignment horizontal="center" vertical="center"/>
    </xf>
    <xf numFmtId="49" fontId="28" fillId="0" borderId="6" xfId="0" applyNumberFormat="1" applyFont="1" applyBorder="1" applyAlignment="1">
      <alignment horizontal="left" vertical="center"/>
    </xf>
    <xf numFmtId="165" fontId="28" fillId="0" borderId="0" xfId="1" applyNumberFormat="1" applyFont="1" applyBorder="1" applyAlignment="1" applyProtection="1">
      <alignment horizontal="center" vertical="center"/>
    </xf>
    <xf numFmtId="49" fontId="28" fillId="2" borderId="6" xfId="0" applyNumberFormat="1" applyFont="1" applyFill="1" applyBorder="1" applyAlignment="1">
      <alignment horizontal="left" vertical="center"/>
    </xf>
    <xf numFmtId="165" fontId="28" fillId="2" borderId="0" xfId="1" applyNumberFormat="1" applyFont="1" applyFill="1" applyBorder="1" applyAlignment="1" applyProtection="1">
      <alignment horizontal="center" vertical="center"/>
    </xf>
    <xf numFmtId="165" fontId="23" fillId="3" borderId="0" xfId="1" applyNumberFormat="1" applyFont="1" applyFill="1" applyBorder="1" applyAlignment="1" applyProtection="1">
      <alignment horizontal="center" vertical="center"/>
    </xf>
    <xf numFmtId="10" fontId="0" fillId="0" borderId="0" xfId="0" applyNumberFormat="1"/>
    <xf numFmtId="17" fontId="0" fillId="2" borderId="0" xfId="0" applyNumberFormat="1" applyFill="1"/>
    <xf numFmtId="169" fontId="0" fillId="0" borderId="0" xfId="0" applyNumberFormat="1"/>
    <xf numFmtId="0" fontId="0" fillId="5" borderId="0" xfId="1" applyNumberFormat="1" applyFont="1" applyFill="1" applyBorder="1" applyAlignment="1" applyProtection="1">
      <alignment horizontal="center" vertical="center"/>
    </xf>
    <xf numFmtId="3" fontId="0" fillId="5" borderId="0" xfId="1" applyNumberFormat="1" applyFont="1" applyFill="1" applyBorder="1" applyAlignment="1" applyProtection="1">
      <alignment horizontal="center" vertical="center"/>
    </xf>
    <xf numFmtId="0" fontId="0" fillId="2" borderId="0" xfId="0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3" borderId="4" xfId="0" applyFont="1" applyFill="1" applyBorder="1" applyAlignment="1">
      <alignment horizontal="right" vertical="center"/>
    </xf>
    <xf numFmtId="165" fontId="11" fillId="3" borderId="0" xfId="1" applyNumberFormat="1" applyFont="1" applyFill="1" applyBorder="1" applyAlignment="1" applyProtection="1">
      <alignment horizontal="right" vertical="center"/>
    </xf>
    <xf numFmtId="0" fontId="0" fillId="5" borderId="0" xfId="0" applyFill="1" applyAlignment="1">
      <alignment horizontal="right" vertical="center"/>
    </xf>
    <xf numFmtId="0" fontId="14" fillId="2" borderId="0" xfId="0" applyFont="1" applyFill="1" applyAlignment="1">
      <alignment horizontal="right" vertical="center"/>
    </xf>
    <xf numFmtId="49" fontId="11" fillId="3" borderId="0" xfId="0" applyNumberFormat="1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49" fontId="11" fillId="0" borderId="0" xfId="0" applyNumberFormat="1" applyFont="1" applyAlignment="1">
      <alignment horizontal="left"/>
    </xf>
    <xf numFmtId="170" fontId="0" fillId="2" borderId="0" xfId="1" applyNumberFormat="1" applyFont="1" applyFill="1" applyBorder="1" applyAlignment="1" applyProtection="1">
      <alignment horizontal="right" vertical="center"/>
    </xf>
    <xf numFmtId="49" fontId="10" fillId="3" borderId="0" xfId="0" applyNumberFormat="1" applyFont="1" applyFill="1" applyAlignment="1">
      <alignment horizontal="left" vertical="center"/>
    </xf>
    <xf numFmtId="49" fontId="0" fillId="4" borderId="0" xfId="0" applyNumberFormat="1" applyFill="1" applyAlignment="1">
      <alignment horizontal="left" vertical="center"/>
    </xf>
    <xf numFmtId="10" fontId="19" fillId="0" borderId="0" xfId="2" applyNumberFormat="1" applyBorder="1" applyProtection="1"/>
    <xf numFmtId="0" fontId="0" fillId="5" borderId="0" xfId="0" applyFill="1"/>
    <xf numFmtId="3" fontId="12" fillId="5" borderId="0" xfId="4" applyNumberFormat="1" applyFont="1" applyFill="1"/>
    <xf numFmtId="4" fontId="0" fillId="0" borderId="0" xfId="0" applyNumberFormat="1"/>
    <xf numFmtId="171" fontId="0" fillId="0" borderId="0" xfId="0" applyNumberFormat="1"/>
    <xf numFmtId="165" fontId="12" fillId="0" borderId="0" xfId="1" applyNumberFormat="1" applyFont="1" applyBorder="1" applyAlignment="1" applyProtection="1">
      <alignment horizontal="center" vertical="center"/>
    </xf>
    <xf numFmtId="0" fontId="4" fillId="2" borderId="0" xfId="0" applyFont="1" applyFill="1" applyAlignment="1">
      <alignment horizontal="center"/>
    </xf>
    <xf numFmtId="0" fontId="16" fillId="6" borderId="13" xfId="0" applyFont="1" applyFill="1" applyBorder="1" applyAlignment="1">
      <alignment horizontal="center" vertical="center" wrapText="1"/>
    </xf>
    <xf numFmtId="165" fontId="10" fillId="3" borderId="0" xfId="1" applyNumberFormat="1" applyFont="1" applyFill="1" applyAlignment="1">
      <alignment horizontal="center" vertical="center"/>
    </xf>
    <xf numFmtId="165" fontId="19" fillId="4" borderId="0" xfId="1" applyNumberFormat="1" applyFill="1" applyAlignment="1">
      <alignment horizontal="center" vertical="center"/>
    </xf>
    <xf numFmtId="165" fontId="19" fillId="2" borderId="0" xfId="1" applyNumberFormat="1" applyFill="1" applyAlignment="1">
      <alignment horizontal="center" vertical="center"/>
    </xf>
    <xf numFmtId="165" fontId="11" fillId="3" borderId="0" xfId="1" applyNumberFormat="1" applyFont="1" applyFill="1" applyAlignment="1">
      <alignment horizontal="center" vertical="center"/>
    </xf>
    <xf numFmtId="165" fontId="19" fillId="0" borderId="0" xfId="1" applyNumberFormat="1" applyAlignment="1">
      <alignment horizontal="center" vertical="center"/>
    </xf>
    <xf numFmtId="165" fontId="19" fillId="5" borderId="0" xfId="1" applyNumberFormat="1" applyFill="1" applyAlignment="1">
      <alignment horizontal="center" vertical="center"/>
    </xf>
    <xf numFmtId="165" fontId="19" fillId="5" borderId="0" xfId="1" applyNumberFormat="1" applyFill="1" applyAlignment="1">
      <alignment horizontal="right" vertical="center"/>
    </xf>
    <xf numFmtId="166" fontId="19" fillId="2" borderId="0" xfId="1" applyNumberFormat="1" applyFill="1" applyAlignment="1">
      <alignment horizontal="right" vertical="center"/>
    </xf>
    <xf numFmtId="3" fontId="19" fillId="5" borderId="0" xfId="1" applyNumberFormat="1" applyFill="1" applyAlignment="1">
      <alignment horizontal="center" vertical="center"/>
    </xf>
    <xf numFmtId="0" fontId="19" fillId="5" borderId="0" xfId="1" applyNumberFormat="1" applyFill="1" applyAlignment="1">
      <alignment horizontal="center" vertical="center"/>
    </xf>
    <xf numFmtId="165" fontId="11" fillId="3" borderId="0" xfId="1" applyNumberFormat="1" applyFont="1" applyFill="1" applyAlignment="1">
      <alignment horizontal="right" vertical="center"/>
    </xf>
    <xf numFmtId="165" fontId="26" fillId="3" borderId="0" xfId="1" applyNumberFormat="1" applyFont="1" applyFill="1" applyAlignment="1">
      <alignment horizontal="center" vertical="center"/>
    </xf>
    <xf numFmtId="3" fontId="0" fillId="0" borderId="0" xfId="0" applyNumberFormat="1" applyBorder="1"/>
    <xf numFmtId="0" fontId="0" fillId="0" borderId="0" xfId="0" applyBorder="1"/>
    <xf numFmtId="3" fontId="31" fillId="9" borderId="0" xfId="0" applyNumberFormat="1" applyFont="1" applyFill="1" applyBorder="1" applyAlignment="1">
      <alignment horizontal="center" vertical="center" wrapText="1"/>
    </xf>
  </cellXfs>
  <cellStyles count="16">
    <cellStyle name="Normal" xfId="0" builtinId="0"/>
    <cellStyle name="Normal 10" xfId="3" xr:uid="{00000000-0005-0000-0000-000001000000}"/>
    <cellStyle name="Normal 2" xfId="4" xr:uid="{00000000-0005-0000-0000-000002000000}"/>
    <cellStyle name="Normal 3" xfId="5" xr:uid="{00000000-0005-0000-0000-000003000000}"/>
    <cellStyle name="Normal 4" xfId="6" xr:uid="{00000000-0005-0000-0000-000004000000}"/>
    <cellStyle name="Porcentagem" xfId="2" builtinId="5"/>
    <cellStyle name="Porcentagem 2" xfId="7" xr:uid="{00000000-0005-0000-0000-000006000000}"/>
    <cellStyle name="Porcentagem 3" xfId="8" xr:uid="{00000000-0005-0000-0000-000007000000}"/>
    <cellStyle name="Separador de milhares 2" xfId="9" xr:uid="{00000000-0005-0000-0000-000008000000}"/>
    <cellStyle name="TableStyleLight1" xfId="10" xr:uid="{00000000-0005-0000-0000-000009000000}"/>
    <cellStyle name="Texto Explicativo 2" xfId="15" xr:uid="{DF82944C-4D55-4D9A-99EC-BCA4C27690EF}"/>
    <cellStyle name="Vírgula" xfId="1" builtinId="3"/>
    <cellStyle name="Vírgula 2" xfId="11" xr:uid="{00000000-0005-0000-0000-00000B000000}"/>
    <cellStyle name="Vírgula 3" xfId="12" xr:uid="{00000000-0005-0000-0000-00000C000000}"/>
    <cellStyle name="Vírgula 4" xfId="13" xr:uid="{00000000-0005-0000-0000-00000D000000}"/>
    <cellStyle name="Vírgula 5" xfId="14" xr:uid="{00000000-0005-0000-0000-00000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9C2"/>
      <rgbColor rgb="FFC0C0C0"/>
      <rgbColor rgb="FF808080"/>
      <rgbColor rgb="FF9999FF"/>
      <rgbColor rgb="FF993366"/>
      <rgbColor rgb="FFF2F2F2"/>
      <rgbColor rgb="FFEDEDE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CCFFCC"/>
      <rgbColor rgb="FFFFFF99"/>
      <rgbColor rgb="FF99CCFF"/>
      <rgbColor rgb="FFFF99CC"/>
      <rgbColor rgb="FFCC99FF"/>
      <rgbColor rgb="FFFFCC99"/>
      <rgbColor rgb="FF4472C4"/>
      <rgbColor rgb="FF2BBFCF"/>
      <rgbColor rgb="FF99CC00"/>
      <rgbColor rgb="FFFFCC00"/>
      <rgbColor rgb="FFFF9900"/>
      <rgbColor rgb="FFFF6600"/>
      <rgbColor rgb="FF5757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RE Analitica'!A1"/><Relationship Id="rId3" Type="http://schemas.openxmlformats.org/officeDocument/2006/relationships/hyperlink" Target="#'Resultados Abrangentes'!A1"/><Relationship Id="rId7" Type="http://schemas.openxmlformats.org/officeDocument/2006/relationships/hyperlink" Target="#'Indicadores Operacionais'!A1"/><Relationship Id="rId2" Type="http://schemas.openxmlformats.org/officeDocument/2006/relationships/image" Target="../media/image1.png"/><Relationship Id="rId1" Type="http://schemas.openxmlformats.org/officeDocument/2006/relationships/hyperlink" Target="#'Balan&#231;o Patrimonial'!A1"/><Relationship Id="rId6" Type="http://schemas.openxmlformats.org/officeDocument/2006/relationships/hyperlink" Target="#'DRE Sintetica'!A1"/><Relationship Id="rId5" Type="http://schemas.openxmlformats.org/officeDocument/2006/relationships/hyperlink" Target="#'Fluxos de Caixa'!A1"/><Relationship Id="rId4" Type="http://schemas.openxmlformats.org/officeDocument/2006/relationships/hyperlink" Target="#'Valores Adicionados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Indicadores Operacionais'!A1"/><Relationship Id="rId3" Type="http://schemas.openxmlformats.org/officeDocument/2006/relationships/hyperlink" Target="#'Fluxos de Caixa'!A1"/><Relationship Id="rId7" Type="http://schemas.openxmlformats.org/officeDocument/2006/relationships/image" Target="../media/image2.png"/><Relationship Id="rId2" Type="http://schemas.openxmlformats.org/officeDocument/2006/relationships/hyperlink" Target="#'Valores Adicionados'!A1"/><Relationship Id="rId1" Type="http://schemas.openxmlformats.org/officeDocument/2006/relationships/hyperlink" Target="#'Resultados Abrangentes'!A1"/><Relationship Id="rId6" Type="http://schemas.openxmlformats.org/officeDocument/2006/relationships/hyperlink" Target="#Home!A1"/><Relationship Id="rId5" Type="http://schemas.openxmlformats.org/officeDocument/2006/relationships/hyperlink" Target="#'Balan&#231;o Patrimonial'!A1"/><Relationship Id="rId4" Type="http://schemas.openxmlformats.org/officeDocument/2006/relationships/hyperlink" Target="#'DRE Sintetica'!A1"/><Relationship Id="rId9" Type="http://schemas.openxmlformats.org/officeDocument/2006/relationships/hyperlink" Target="#'DRE Analitica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Indicadores Operacionais'!A1"/><Relationship Id="rId3" Type="http://schemas.openxmlformats.org/officeDocument/2006/relationships/hyperlink" Target="#'Fluxos de Caixa'!A1"/><Relationship Id="rId7" Type="http://schemas.openxmlformats.org/officeDocument/2006/relationships/image" Target="../media/image2.png"/><Relationship Id="rId2" Type="http://schemas.openxmlformats.org/officeDocument/2006/relationships/hyperlink" Target="#'Valores Adicionados'!A1"/><Relationship Id="rId1" Type="http://schemas.openxmlformats.org/officeDocument/2006/relationships/hyperlink" Target="#'Resultados Abrangentes'!A1"/><Relationship Id="rId6" Type="http://schemas.openxmlformats.org/officeDocument/2006/relationships/hyperlink" Target="#Home!A1"/><Relationship Id="rId5" Type="http://schemas.openxmlformats.org/officeDocument/2006/relationships/hyperlink" Target="#'Balan&#231;o Patrimonial'!A1"/><Relationship Id="rId4" Type="http://schemas.openxmlformats.org/officeDocument/2006/relationships/hyperlink" Target="#'DRE Sintetica'!A1"/><Relationship Id="rId9" Type="http://schemas.openxmlformats.org/officeDocument/2006/relationships/hyperlink" Target="#'DRE Analitica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Indicadores Operacionais'!A1"/><Relationship Id="rId3" Type="http://schemas.openxmlformats.org/officeDocument/2006/relationships/hyperlink" Target="#'Fluxos de Caixa'!A1"/><Relationship Id="rId7" Type="http://schemas.openxmlformats.org/officeDocument/2006/relationships/image" Target="../media/image2.png"/><Relationship Id="rId2" Type="http://schemas.openxmlformats.org/officeDocument/2006/relationships/hyperlink" Target="#'Valores Adicionados'!A1"/><Relationship Id="rId1" Type="http://schemas.openxmlformats.org/officeDocument/2006/relationships/hyperlink" Target="#'Resultados Abrangentes'!A1"/><Relationship Id="rId6" Type="http://schemas.openxmlformats.org/officeDocument/2006/relationships/hyperlink" Target="#Home!A1"/><Relationship Id="rId5" Type="http://schemas.openxmlformats.org/officeDocument/2006/relationships/hyperlink" Target="#'Balan&#231;o Patrimonial'!A1"/><Relationship Id="rId4" Type="http://schemas.openxmlformats.org/officeDocument/2006/relationships/hyperlink" Target="#'DRE Sintetica'!A1"/><Relationship Id="rId9" Type="http://schemas.openxmlformats.org/officeDocument/2006/relationships/hyperlink" Target="#'DRE Analitica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'Indicadores Operacionais'!A1"/><Relationship Id="rId3" Type="http://schemas.openxmlformats.org/officeDocument/2006/relationships/hyperlink" Target="#'Fluxos de Caixa'!A1"/><Relationship Id="rId7" Type="http://schemas.openxmlformats.org/officeDocument/2006/relationships/image" Target="../media/image2.png"/><Relationship Id="rId2" Type="http://schemas.openxmlformats.org/officeDocument/2006/relationships/hyperlink" Target="#'Valores Adicionados'!A1"/><Relationship Id="rId1" Type="http://schemas.openxmlformats.org/officeDocument/2006/relationships/hyperlink" Target="#'Resultados Abrangentes'!A1"/><Relationship Id="rId6" Type="http://schemas.openxmlformats.org/officeDocument/2006/relationships/hyperlink" Target="#Home!A1"/><Relationship Id="rId5" Type="http://schemas.openxmlformats.org/officeDocument/2006/relationships/hyperlink" Target="#'Balan&#231;o Patrimonial'!A1"/><Relationship Id="rId4" Type="http://schemas.openxmlformats.org/officeDocument/2006/relationships/hyperlink" Target="#'DRE Sintetica'!A1"/><Relationship Id="rId9" Type="http://schemas.openxmlformats.org/officeDocument/2006/relationships/hyperlink" Target="#'DRE Analitica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Indicadores Operacionais'!A1"/><Relationship Id="rId3" Type="http://schemas.openxmlformats.org/officeDocument/2006/relationships/hyperlink" Target="#'Fluxos de Caixa'!A1"/><Relationship Id="rId7" Type="http://schemas.openxmlformats.org/officeDocument/2006/relationships/image" Target="../media/image2.png"/><Relationship Id="rId2" Type="http://schemas.openxmlformats.org/officeDocument/2006/relationships/hyperlink" Target="#'Valores Adicionados'!A1"/><Relationship Id="rId1" Type="http://schemas.openxmlformats.org/officeDocument/2006/relationships/hyperlink" Target="#'Resultados Abrangentes'!A1"/><Relationship Id="rId6" Type="http://schemas.openxmlformats.org/officeDocument/2006/relationships/hyperlink" Target="#Home!A1"/><Relationship Id="rId5" Type="http://schemas.openxmlformats.org/officeDocument/2006/relationships/hyperlink" Target="#'Balan&#231;o Patrimonial'!A1"/><Relationship Id="rId4" Type="http://schemas.openxmlformats.org/officeDocument/2006/relationships/hyperlink" Target="#'DRE Sintetica'!A1"/><Relationship Id="rId9" Type="http://schemas.openxmlformats.org/officeDocument/2006/relationships/hyperlink" Target="#'DRE Analitica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'Indicadores Operacionais'!A1"/><Relationship Id="rId3" Type="http://schemas.openxmlformats.org/officeDocument/2006/relationships/hyperlink" Target="#'Fluxos de Caixa'!A1"/><Relationship Id="rId7" Type="http://schemas.openxmlformats.org/officeDocument/2006/relationships/image" Target="../media/image2.png"/><Relationship Id="rId2" Type="http://schemas.openxmlformats.org/officeDocument/2006/relationships/hyperlink" Target="#'Valores Adicionados'!A1"/><Relationship Id="rId1" Type="http://schemas.openxmlformats.org/officeDocument/2006/relationships/hyperlink" Target="#'Resultados Abrangentes'!A1"/><Relationship Id="rId6" Type="http://schemas.openxmlformats.org/officeDocument/2006/relationships/hyperlink" Target="#Home!A1"/><Relationship Id="rId5" Type="http://schemas.openxmlformats.org/officeDocument/2006/relationships/hyperlink" Target="#'Balan&#231;o Patrimonial'!A1"/><Relationship Id="rId4" Type="http://schemas.openxmlformats.org/officeDocument/2006/relationships/hyperlink" Target="#'DRE Sintetica'!A1"/><Relationship Id="rId9" Type="http://schemas.openxmlformats.org/officeDocument/2006/relationships/hyperlink" Target="#'DRE Analitica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'Indicadores Operacionais'!A1"/><Relationship Id="rId3" Type="http://schemas.openxmlformats.org/officeDocument/2006/relationships/hyperlink" Target="#'Fluxos de Caixa'!A1"/><Relationship Id="rId7" Type="http://schemas.openxmlformats.org/officeDocument/2006/relationships/image" Target="../media/image2.png"/><Relationship Id="rId2" Type="http://schemas.openxmlformats.org/officeDocument/2006/relationships/hyperlink" Target="#'Valores Adicionados'!A1"/><Relationship Id="rId1" Type="http://schemas.openxmlformats.org/officeDocument/2006/relationships/hyperlink" Target="#'Resultados Abrangentes'!A1"/><Relationship Id="rId6" Type="http://schemas.openxmlformats.org/officeDocument/2006/relationships/hyperlink" Target="#Home!A1"/><Relationship Id="rId5" Type="http://schemas.openxmlformats.org/officeDocument/2006/relationships/hyperlink" Target="#'Balan&#231;o Patrimonial'!A1"/><Relationship Id="rId4" Type="http://schemas.openxmlformats.org/officeDocument/2006/relationships/hyperlink" Target="#'DRE Sintetica'!A1"/><Relationship Id="rId9" Type="http://schemas.openxmlformats.org/officeDocument/2006/relationships/hyperlink" Target="#'DRE Analitica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409680</xdr:colOff>
      <xdr:row>1</xdr:row>
      <xdr:rowOff>128160</xdr:rowOff>
    </xdr:from>
    <xdr:to>
      <xdr:col>12</xdr:col>
      <xdr:colOff>409680</xdr:colOff>
      <xdr:row>4</xdr:row>
      <xdr:rowOff>174960</xdr:rowOff>
    </xdr:to>
    <xdr:sp macro="" textlink="">
      <xdr:nvSpPr>
        <xdr:cNvPr id="2" name="Custom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06640" y="318600"/>
          <a:ext cx="5174640" cy="618480"/>
        </a:xfrm>
        <a:custGeom>
          <a:avLst/>
          <a:gdLst>
            <a:gd name="textAreaLeft" fmla="*/ 0 w 5174640"/>
            <a:gd name="textAreaRight" fmla="*/ 5175000 w 5174640"/>
            <a:gd name="textAreaTop" fmla="*/ 0 h 618480"/>
            <a:gd name="textAreaBottom" fmla="*/ 618840 h 618480"/>
          </a:gdLst>
          <a:ahLst/>
          <a:cxnLst/>
          <a:rect l="textAreaLeft" t="textAreaTop" r="textAreaRight" b="textAreaBottom"/>
          <a:pathLst>
            <a:path w="14352" h="1602">
              <a:moveTo>
                <a:pt x="266" y="0"/>
              </a:moveTo>
              <a:lnTo>
                <a:pt x="267" y="0"/>
              </a:lnTo>
              <a:cubicBezTo>
                <a:pt x="220" y="0"/>
                <a:pt x="174" y="12"/>
                <a:pt x="133" y="36"/>
              </a:cubicBezTo>
              <a:cubicBezTo>
                <a:pt x="93" y="59"/>
                <a:pt x="59" y="93"/>
                <a:pt x="36" y="133"/>
              </a:cubicBezTo>
              <a:cubicBezTo>
                <a:pt x="12" y="174"/>
                <a:pt x="0" y="220"/>
                <a:pt x="0" y="267"/>
              </a:cubicBezTo>
              <a:lnTo>
                <a:pt x="0" y="1334"/>
              </a:lnTo>
              <a:lnTo>
                <a:pt x="0" y="1334"/>
              </a:lnTo>
              <a:cubicBezTo>
                <a:pt x="0" y="1381"/>
                <a:pt x="12" y="1427"/>
                <a:pt x="36" y="1468"/>
              </a:cubicBezTo>
              <a:cubicBezTo>
                <a:pt x="59" y="1508"/>
                <a:pt x="93" y="1542"/>
                <a:pt x="133" y="1565"/>
              </a:cubicBezTo>
              <a:cubicBezTo>
                <a:pt x="174" y="1589"/>
                <a:pt x="220" y="1601"/>
                <a:pt x="267" y="1601"/>
              </a:cubicBezTo>
              <a:lnTo>
                <a:pt x="14084" y="1600"/>
              </a:lnTo>
              <a:lnTo>
                <a:pt x="14084" y="1601"/>
              </a:lnTo>
              <a:cubicBezTo>
                <a:pt x="14131" y="1601"/>
                <a:pt x="14177" y="1589"/>
                <a:pt x="14218" y="1565"/>
              </a:cubicBezTo>
              <a:cubicBezTo>
                <a:pt x="14258" y="1542"/>
                <a:pt x="14292" y="1508"/>
                <a:pt x="14315" y="1468"/>
              </a:cubicBezTo>
              <a:cubicBezTo>
                <a:pt x="14339" y="1427"/>
                <a:pt x="14351" y="1381"/>
                <a:pt x="14351" y="1334"/>
              </a:cubicBezTo>
              <a:lnTo>
                <a:pt x="14351" y="266"/>
              </a:lnTo>
              <a:lnTo>
                <a:pt x="14351" y="267"/>
              </a:lnTo>
              <a:lnTo>
                <a:pt x="14351" y="267"/>
              </a:lnTo>
              <a:cubicBezTo>
                <a:pt x="14351" y="220"/>
                <a:pt x="14339" y="174"/>
                <a:pt x="14315" y="133"/>
              </a:cubicBezTo>
              <a:cubicBezTo>
                <a:pt x="14292" y="93"/>
                <a:pt x="14258" y="59"/>
                <a:pt x="14218" y="36"/>
              </a:cubicBezTo>
              <a:cubicBezTo>
                <a:pt x="14177" y="12"/>
                <a:pt x="14131" y="0"/>
                <a:pt x="14084" y="0"/>
              </a:cubicBezTo>
              <a:lnTo>
                <a:pt x="266" y="0"/>
              </a:lnTo>
            </a:path>
          </a:pathLst>
        </a:custGeom>
        <a:solidFill>
          <a:srgbClr val="0099C2"/>
        </a:solidFill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Balanço Patrimonial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oneCell">
    <xdr:from>
      <xdr:col>13</xdr:col>
      <xdr:colOff>66600</xdr:colOff>
      <xdr:row>3</xdr:row>
      <xdr:rowOff>127800</xdr:rowOff>
    </xdr:from>
    <xdr:to>
      <xdr:col>16</xdr:col>
      <xdr:colOff>970560</xdr:colOff>
      <xdr:row>18</xdr:row>
      <xdr:rowOff>75960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62080" y="699480"/>
          <a:ext cx="3572280" cy="28054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409680</xdr:colOff>
      <xdr:row>9</xdr:row>
      <xdr:rowOff>16920</xdr:rowOff>
    </xdr:from>
    <xdr:to>
      <xdr:col>12</xdr:col>
      <xdr:colOff>409320</xdr:colOff>
      <xdr:row>12</xdr:row>
      <xdr:rowOff>62640</xdr:rowOff>
    </xdr:to>
    <xdr:sp macro="" textlink="">
      <xdr:nvSpPr>
        <xdr:cNvPr id="4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06640" y="1731600"/>
          <a:ext cx="5174280" cy="617040"/>
        </a:xfrm>
        <a:custGeom>
          <a:avLst/>
          <a:gdLst>
            <a:gd name="textAreaLeft" fmla="*/ 0 w 5174280"/>
            <a:gd name="textAreaRight" fmla="*/ 5174640 w 5174280"/>
            <a:gd name="textAreaTop" fmla="*/ 0 h 617040"/>
            <a:gd name="textAreaBottom" fmla="*/ 617400 h 617040"/>
          </a:gdLst>
          <a:ahLst/>
          <a:cxnLst/>
          <a:rect l="textAreaLeft" t="textAreaTop" r="textAreaRight" b="textAreaBottom"/>
          <a:pathLst>
            <a:path w="14351" h="1600">
              <a:moveTo>
                <a:pt x="266" y="0"/>
              </a:moveTo>
              <a:lnTo>
                <a:pt x="267" y="0"/>
              </a:lnTo>
              <a:cubicBezTo>
                <a:pt x="220" y="0"/>
                <a:pt x="174" y="12"/>
                <a:pt x="133" y="36"/>
              </a:cubicBezTo>
              <a:cubicBezTo>
                <a:pt x="93" y="59"/>
                <a:pt x="59" y="93"/>
                <a:pt x="36" y="133"/>
              </a:cubicBezTo>
              <a:cubicBezTo>
                <a:pt x="12" y="174"/>
                <a:pt x="0" y="220"/>
                <a:pt x="0" y="267"/>
              </a:cubicBezTo>
              <a:lnTo>
                <a:pt x="0" y="1332"/>
              </a:lnTo>
              <a:lnTo>
                <a:pt x="0" y="1333"/>
              </a:lnTo>
              <a:cubicBezTo>
                <a:pt x="0" y="1379"/>
                <a:pt x="12" y="1425"/>
                <a:pt x="36" y="1466"/>
              </a:cubicBezTo>
              <a:cubicBezTo>
                <a:pt x="59" y="1506"/>
                <a:pt x="93" y="1540"/>
                <a:pt x="133" y="1563"/>
              </a:cubicBezTo>
              <a:cubicBezTo>
                <a:pt x="174" y="1587"/>
                <a:pt x="220" y="1599"/>
                <a:pt x="267" y="1599"/>
              </a:cubicBezTo>
              <a:lnTo>
                <a:pt x="14083" y="1599"/>
              </a:lnTo>
              <a:lnTo>
                <a:pt x="14084" y="1599"/>
              </a:lnTo>
              <a:cubicBezTo>
                <a:pt x="14130" y="1599"/>
                <a:pt x="14176" y="1587"/>
                <a:pt x="14217" y="1563"/>
              </a:cubicBezTo>
              <a:cubicBezTo>
                <a:pt x="14257" y="1540"/>
                <a:pt x="14291" y="1506"/>
                <a:pt x="14314" y="1466"/>
              </a:cubicBezTo>
              <a:cubicBezTo>
                <a:pt x="14338" y="1425"/>
                <a:pt x="14350" y="1379"/>
                <a:pt x="14350" y="1333"/>
              </a:cubicBezTo>
              <a:lnTo>
                <a:pt x="14350" y="266"/>
              </a:lnTo>
              <a:lnTo>
                <a:pt x="14350" y="267"/>
              </a:lnTo>
              <a:lnTo>
                <a:pt x="14350" y="267"/>
              </a:lnTo>
              <a:cubicBezTo>
                <a:pt x="14350" y="220"/>
                <a:pt x="14338" y="174"/>
                <a:pt x="14314" y="133"/>
              </a:cubicBezTo>
              <a:cubicBezTo>
                <a:pt x="14291" y="93"/>
                <a:pt x="14257" y="59"/>
                <a:pt x="14217" y="36"/>
              </a:cubicBezTo>
              <a:cubicBezTo>
                <a:pt x="14176" y="12"/>
                <a:pt x="14130" y="0"/>
                <a:pt x="14084" y="0"/>
              </a:cubicBezTo>
              <a:lnTo>
                <a:pt x="266" y="0"/>
              </a:lnTo>
            </a:path>
          </a:pathLst>
        </a:custGeom>
        <a:solidFill>
          <a:srgbClr val="0099C2"/>
        </a:solidFill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 anchorCtr="1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Demonstrações dos Resultados Abrangentes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4</xdr:col>
      <xdr:colOff>409680</xdr:colOff>
      <xdr:row>12</xdr:row>
      <xdr:rowOff>131760</xdr:rowOff>
    </xdr:from>
    <xdr:to>
      <xdr:col>12</xdr:col>
      <xdr:colOff>409680</xdr:colOff>
      <xdr:row>16</xdr:row>
      <xdr:rowOff>3240</xdr:rowOff>
    </xdr:to>
    <xdr:sp macro="" textlink="">
      <xdr:nvSpPr>
        <xdr:cNvPr id="5" name="CustomShape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906640" y="2417760"/>
          <a:ext cx="5174640" cy="633600"/>
        </a:xfrm>
        <a:custGeom>
          <a:avLst/>
          <a:gdLst>
            <a:gd name="textAreaLeft" fmla="*/ 0 w 5174640"/>
            <a:gd name="textAreaRight" fmla="*/ 5175000 w 5174640"/>
            <a:gd name="textAreaTop" fmla="*/ 0 h 633600"/>
            <a:gd name="textAreaBottom" fmla="*/ 633960 h 633600"/>
          </a:gdLst>
          <a:ahLst/>
          <a:cxnLst/>
          <a:rect l="textAreaLeft" t="textAreaTop" r="textAreaRight" b="textAreaBottom"/>
          <a:pathLst>
            <a:path w="14352" h="1602">
              <a:moveTo>
                <a:pt x="266" y="0"/>
              </a:moveTo>
              <a:lnTo>
                <a:pt x="267" y="0"/>
              </a:lnTo>
              <a:cubicBezTo>
                <a:pt x="220" y="0"/>
                <a:pt x="174" y="12"/>
                <a:pt x="133" y="36"/>
              </a:cubicBezTo>
              <a:cubicBezTo>
                <a:pt x="93" y="59"/>
                <a:pt x="59" y="93"/>
                <a:pt x="36" y="133"/>
              </a:cubicBezTo>
              <a:cubicBezTo>
                <a:pt x="12" y="174"/>
                <a:pt x="0" y="220"/>
                <a:pt x="0" y="267"/>
              </a:cubicBezTo>
              <a:lnTo>
                <a:pt x="0" y="1334"/>
              </a:lnTo>
              <a:lnTo>
                <a:pt x="0" y="1334"/>
              </a:lnTo>
              <a:cubicBezTo>
                <a:pt x="0" y="1381"/>
                <a:pt x="12" y="1427"/>
                <a:pt x="36" y="1468"/>
              </a:cubicBezTo>
              <a:cubicBezTo>
                <a:pt x="59" y="1508"/>
                <a:pt x="93" y="1542"/>
                <a:pt x="133" y="1565"/>
              </a:cubicBezTo>
              <a:cubicBezTo>
                <a:pt x="174" y="1589"/>
                <a:pt x="220" y="1601"/>
                <a:pt x="267" y="1601"/>
              </a:cubicBezTo>
              <a:lnTo>
                <a:pt x="14084" y="1600"/>
              </a:lnTo>
              <a:lnTo>
                <a:pt x="14084" y="1601"/>
              </a:lnTo>
              <a:cubicBezTo>
                <a:pt x="14131" y="1601"/>
                <a:pt x="14177" y="1589"/>
                <a:pt x="14218" y="1565"/>
              </a:cubicBezTo>
              <a:cubicBezTo>
                <a:pt x="14258" y="1542"/>
                <a:pt x="14292" y="1508"/>
                <a:pt x="14315" y="1468"/>
              </a:cubicBezTo>
              <a:cubicBezTo>
                <a:pt x="14339" y="1427"/>
                <a:pt x="14351" y="1381"/>
                <a:pt x="14351" y="1334"/>
              </a:cubicBezTo>
              <a:lnTo>
                <a:pt x="14351" y="266"/>
              </a:lnTo>
              <a:lnTo>
                <a:pt x="14351" y="267"/>
              </a:lnTo>
              <a:lnTo>
                <a:pt x="14351" y="267"/>
              </a:lnTo>
              <a:cubicBezTo>
                <a:pt x="14351" y="220"/>
                <a:pt x="14339" y="174"/>
                <a:pt x="14315" y="133"/>
              </a:cubicBezTo>
              <a:cubicBezTo>
                <a:pt x="14292" y="93"/>
                <a:pt x="14258" y="59"/>
                <a:pt x="14218" y="36"/>
              </a:cubicBezTo>
              <a:cubicBezTo>
                <a:pt x="14177" y="12"/>
                <a:pt x="14131" y="0"/>
                <a:pt x="14084" y="0"/>
              </a:cubicBezTo>
              <a:lnTo>
                <a:pt x="266" y="0"/>
              </a:lnTo>
            </a:path>
          </a:pathLst>
        </a:custGeom>
        <a:solidFill>
          <a:srgbClr val="0099C2"/>
        </a:solidFill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Demonstrações dos Valores Adicionados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4</xdr:col>
      <xdr:colOff>409680</xdr:colOff>
      <xdr:row>16</xdr:row>
      <xdr:rowOff>79920</xdr:rowOff>
    </xdr:from>
    <xdr:to>
      <xdr:col>12</xdr:col>
      <xdr:colOff>409680</xdr:colOff>
      <xdr:row>19</xdr:row>
      <xdr:rowOff>111240</xdr:rowOff>
    </xdr:to>
    <xdr:sp macro="" textlink="">
      <xdr:nvSpPr>
        <xdr:cNvPr id="6" name="CustomShape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06640" y="3128040"/>
          <a:ext cx="5174640" cy="602640"/>
        </a:xfrm>
        <a:custGeom>
          <a:avLst/>
          <a:gdLst>
            <a:gd name="textAreaLeft" fmla="*/ 0 w 5174640"/>
            <a:gd name="textAreaRight" fmla="*/ 5175000 w 5174640"/>
            <a:gd name="textAreaTop" fmla="*/ 0 h 602640"/>
            <a:gd name="textAreaBottom" fmla="*/ 603000 h 602640"/>
          </a:gdLst>
          <a:ahLst/>
          <a:cxnLst/>
          <a:rect l="textAreaLeft" t="textAreaTop" r="textAreaRight" b="textAreaBottom"/>
          <a:pathLst>
            <a:path w="14352" h="1602">
              <a:moveTo>
                <a:pt x="266" y="0"/>
              </a:moveTo>
              <a:lnTo>
                <a:pt x="267" y="0"/>
              </a:lnTo>
              <a:cubicBezTo>
                <a:pt x="220" y="0"/>
                <a:pt x="174" y="12"/>
                <a:pt x="133" y="36"/>
              </a:cubicBezTo>
              <a:cubicBezTo>
                <a:pt x="93" y="59"/>
                <a:pt x="59" y="93"/>
                <a:pt x="36" y="133"/>
              </a:cubicBezTo>
              <a:cubicBezTo>
                <a:pt x="12" y="174"/>
                <a:pt x="0" y="220"/>
                <a:pt x="0" y="267"/>
              </a:cubicBezTo>
              <a:lnTo>
                <a:pt x="0" y="1334"/>
              </a:lnTo>
              <a:lnTo>
                <a:pt x="0" y="1334"/>
              </a:lnTo>
              <a:cubicBezTo>
                <a:pt x="0" y="1381"/>
                <a:pt x="12" y="1427"/>
                <a:pt x="36" y="1468"/>
              </a:cubicBezTo>
              <a:cubicBezTo>
                <a:pt x="59" y="1508"/>
                <a:pt x="93" y="1542"/>
                <a:pt x="133" y="1565"/>
              </a:cubicBezTo>
              <a:cubicBezTo>
                <a:pt x="174" y="1589"/>
                <a:pt x="220" y="1601"/>
                <a:pt x="267" y="1601"/>
              </a:cubicBezTo>
              <a:lnTo>
                <a:pt x="14084" y="1600"/>
              </a:lnTo>
              <a:lnTo>
                <a:pt x="14084" y="1601"/>
              </a:lnTo>
              <a:cubicBezTo>
                <a:pt x="14131" y="1601"/>
                <a:pt x="14177" y="1589"/>
                <a:pt x="14218" y="1565"/>
              </a:cubicBezTo>
              <a:cubicBezTo>
                <a:pt x="14258" y="1542"/>
                <a:pt x="14292" y="1508"/>
                <a:pt x="14315" y="1468"/>
              </a:cubicBezTo>
              <a:cubicBezTo>
                <a:pt x="14339" y="1427"/>
                <a:pt x="14351" y="1381"/>
                <a:pt x="14351" y="1334"/>
              </a:cubicBezTo>
              <a:lnTo>
                <a:pt x="14351" y="266"/>
              </a:lnTo>
              <a:lnTo>
                <a:pt x="14351" y="267"/>
              </a:lnTo>
              <a:lnTo>
                <a:pt x="14351" y="267"/>
              </a:lnTo>
              <a:cubicBezTo>
                <a:pt x="14351" y="220"/>
                <a:pt x="14339" y="174"/>
                <a:pt x="14315" y="133"/>
              </a:cubicBezTo>
              <a:cubicBezTo>
                <a:pt x="14292" y="93"/>
                <a:pt x="14258" y="59"/>
                <a:pt x="14218" y="36"/>
              </a:cubicBezTo>
              <a:cubicBezTo>
                <a:pt x="14177" y="12"/>
                <a:pt x="14131" y="0"/>
                <a:pt x="14084" y="0"/>
              </a:cubicBezTo>
              <a:lnTo>
                <a:pt x="266" y="0"/>
              </a:lnTo>
            </a:path>
          </a:pathLst>
        </a:custGeom>
        <a:solidFill>
          <a:srgbClr val="0099C2"/>
        </a:solidFill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Demonstrações dos Fluxos de Caixa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4</xdr:col>
      <xdr:colOff>409680</xdr:colOff>
      <xdr:row>5</xdr:row>
      <xdr:rowOff>80640</xdr:rowOff>
    </xdr:from>
    <xdr:to>
      <xdr:col>8</xdr:col>
      <xdr:colOff>459000</xdr:colOff>
      <xdr:row>8</xdr:row>
      <xdr:rowOff>127080</xdr:rowOff>
    </xdr:to>
    <xdr:sp macro="" textlink="">
      <xdr:nvSpPr>
        <xdr:cNvPr id="7" name="CustomShape 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906640" y="1033200"/>
          <a:ext cx="2545920" cy="617760"/>
        </a:xfrm>
        <a:custGeom>
          <a:avLst/>
          <a:gdLst>
            <a:gd name="textAreaLeft" fmla="*/ 0 w 2545920"/>
            <a:gd name="textAreaRight" fmla="*/ 2546280 w 2545920"/>
            <a:gd name="textAreaTop" fmla="*/ 0 h 617760"/>
            <a:gd name="textAreaBottom" fmla="*/ 618120 h 617760"/>
          </a:gdLst>
          <a:ahLst/>
          <a:cxnLst/>
          <a:rect l="textAreaLeft" t="textAreaTop" r="textAreaRight" b="textAreaBottom"/>
          <a:pathLst>
            <a:path w="14352" h="1602">
              <a:moveTo>
                <a:pt x="266" y="0"/>
              </a:moveTo>
              <a:lnTo>
                <a:pt x="267" y="0"/>
              </a:lnTo>
              <a:cubicBezTo>
                <a:pt x="220" y="0"/>
                <a:pt x="174" y="12"/>
                <a:pt x="133" y="36"/>
              </a:cubicBezTo>
              <a:cubicBezTo>
                <a:pt x="93" y="59"/>
                <a:pt x="59" y="93"/>
                <a:pt x="36" y="133"/>
              </a:cubicBezTo>
              <a:cubicBezTo>
                <a:pt x="12" y="174"/>
                <a:pt x="0" y="220"/>
                <a:pt x="0" y="267"/>
              </a:cubicBezTo>
              <a:lnTo>
                <a:pt x="0" y="1334"/>
              </a:lnTo>
              <a:lnTo>
                <a:pt x="0" y="1334"/>
              </a:lnTo>
              <a:cubicBezTo>
                <a:pt x="0" y="1381"/>
                <a:pt x="12" y="1427"/>
                <a:pt x="36" y="1468"/>
              </a:cubicBezTo>
              <a:cubicBezTo>
                <a:pt x="59" y="1508"/>
                <a:pt x="93" y="1542"/>
                <a:pt x="133" y="1565"/>
              </a:cubicBezTo>
              <a:cubicBezTo>
                <a:pt x="174" y="1589"/>
                <a:pt x="220" y="1601"/>
                <a:pt x="267" y="1601"/>
              </a:cubicBezTo>
              <a:lnTo>
                <a:pt x="14084" y="1600"/>
              </a:lnTo>
              <a:lnTo>
                <a:pt x="14084" y="1601"/>
              </a:lnTo>
              <a:cubicBezTo>
                <a:pt x="14131" y="1601"/>
                <a:pt x="14177" y="1589"/>
                <a:pt x="14218" y="1565"/>
              </a:cubicBezTo>
              <a:cubicBezTo>
                <a:pt x="14258" y="1542"/>
                <a:pt x="14292" y="1508"/>
                <a:pt x="14315" y="1468"/>
              </a:cubicBezTo>
              <a:cubicBezTo>
                <a:pt x="14339" y="1427"/>
                <a:pt x="14351" y="1381"/>
                <a:pt x="14351" y="1334"/>
              </a:cubicBezTo>
              <a:lnTo>
                <a:pt x="14351" y="266"/>
              </a:lnTo>
              <a:lnTo>
                <a:pt x="14351" y="267"/>
              </a:lnTo>
              <a:lnTo>
                <a:pt x="14351" y="267"/>
              </a:lnTo>
              <a:cubicBezTo>
                <a:pt x="14351" y="220"/>
                <a:pt x="14339" y="174"/>
                <a:pt x="14315" y="133"/>
              </a:cubicBezTo>
              <a:cubicBezTo>
                <a:pt x="14292" y="93"/>
                <a:pt x="14258" y="59"/>
                <a:pt x="14218" y="36"/>
              </a:cubicBezTo>
              <a:cubicBezTo>
                <a:pt x="14177" y="12"/>
                <a:pt x="14131" y="0"/>
                <a:pt x="14084" y="0"/>
              </a:cubicBezTo>
              <a:lnTo>
                <a:pt x="266" y="0"/>
              </a:lnTo>
            </a:path>
          </a:pathLst>
        </a:custGeom>
        <a:solidFill>
          <a:srgbClr val="0099C2"/>
        </a:solidFill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- Sintética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4</xdr:col>
      <xdr:colOff>409680</xdr:colOff>
      <xdr:row>19</xdr:row>
      <xdr:rowOff>188280</xdr:rowOff>
    </xdr:from>
    <xdr:to>
      <xdr:col>12</xdr:col>
      <xdr:colOff>409680</xdr:colOff>
      <xdr:row>22</xdr:row>
      <xdr:rowOff>10080</xdr:rowOff>
    </xdr:to>
    <xdr:sp macro="" textlink="">
      <xdr:nvSpPr>
        <xdr:cNvPr id="8" name="CustomShape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906640" y="3807720"/>
          <a:ext cx="5174640" cy="603000"/>
        </a:xfrm>
        <a:custGeom>
          <a:avLst/>
          <a:gdLst>
            <a:gd name="textAreaLeft" fmla="*/ 0 w 5174640"/>
            <a:gd name="textAreaRight" fmla="*/ 5175000 w 5174640"/>
            <a:gd name="textAreaTop" fmla="*/ 0 h 603000"/>
            <a:gd name="textAreaBottom" fmla="*/ 603360 h 603000"/>
          </a:gdLst>
          <a:ahLst/>
          <a:cxnLst/>
          <a:rect l="textAreaLeft" t="textAreaTop" r="textAreaRight" b="textAreaBottom"/>
          <a:pathLst>
            <a:path w="14352" h="1602">
              <a:moveTo>
                <a:pt x="266" y="0"/>
              </a:moveTo>
              <a:lnTo>
                <a:pt x="267" y="0"/>
              </a:lnTo>
              <a:cubicBezTo>
                <a:pt x="220" y="0"/>
                <a:pt x="174" y="12"/>
                <a:pt x="133" y="36"/>
              </a:cubicBezTo>
              <a:cubicBezTo>
                <a:pt x="93" y="59"/>
                <a:pt x="59" y="93"/>
                <a:pt x="36" y="133"/>
              </a:cubicBezTo>
              <a:cubicBezTo>
                <a:pt x="12" y="174"/>
                <a:pt x="0" y="220"/>
                <a:pt x="0" y="267"/>
              </a:cubicBezTo>
              <a:lnTo>
                <a:pt x="0" y="1334"/>
              </a:lnTo>
              <a:lnTo>
                <a:pt x="0" y="1334"/>
              </a:lnTo>
              <a:cubicBezTo>
                <a:pt x="0" y="1381"/>
                <a:pt x="12" y="1427"/>
                <a:pt x="36" y="1468"/>
              </a:cubicBezTo>
              <a:cubicBezTo>
                <a:pt x="59" y="1508"/>
                <a:pt x="93" y="1542"/>
                <a:pt x="133" y="1565"/>
              </a:cubicBezTo>
              <a:cubicBezTo>
                <a:pt x="174" y="1589"/>
                <a:pt x="220" y="1601"/>
                <a:pt x="267" y="1601"/>
              </a:cubicBezTo>
              <a:lnTo>
                <a:pt x="14084" y="1600"/>
              </a:lnTo>
              <a:lnTo>
                <a:pt x="14084" y="1601"/>
              </a:lnTo>
              <a:cubicBezTo>
                <a:pt x="14131" y="1601"/>
                <a:pt x="14177" y="1589"/>
                <a:pt x="14218" y="1565"/>
              </a:cubicBezTo>
              <a:cubicBezTo>
                <a:pt x="14258" y="1542"/>
                <a:pt x="14292" y="1508"/>
                <a:pt x="14315" y="1468"/>
              </a:cubicBezTo>
              <a:cubicBezTo>
                <a:pt x="14339" y="1427"/>
                <a:pt x="14351" y="1381"/>
                <a:pt x="14351" y="1334"/>
              </a:cubicBezTo>
              <a:lnTo>
                <a:pt x="14351" y="266"/>
              </a:lnTo>
              <a:lnTo>
                <a:pt x="14351" y="267"/>
              </a:lnTo>
              <a:lnTo>
                <a:pt x="14351" y="267"/>
              </a:lnTo>
              <a:cubicBezTo>
                <a:pt x="14351" y="220"/>
                <a:pt x="14339" y="174"/>
                <a:pt x="14315" y="133"/>
              </a:cubicBezTo>
              <a:cubicBezTo>
                <a:pt x="14292" y="93"/>
                <a:pt x="14258" y="59"/>
                <a:pt x="14218" y="36"/>
              </a:cubicBezTo>
              <a:cubicBezTo>
                <a:pt x="14177" y="12"/>
                <a:pt x="14131" y="0"/>
                <a:pt x="14084" y="0"/>
              </a:cubicBezTo>
              <a:lnTo>
                <a:pt x="266" y="0"/>
              </a:lnTo>
            </a:path>
          </a:pathLst>
        </a:custGeom>
        <a:solidFill>
          <a:srgbClr val="0099C2"/>
        </a:solidFill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Dados Operacionais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8</xdr:col>
      <xdr:colOff>531360</xdr:colOff>
      <xdr:row>5</xdr:row>
      <xdr:rowOff>80640</xdr:rowOff>
    </xdr:from>
    <xdr:to>
      <xdr:col>12</xdr:col>
      <xdr:colOff>409320</xdr:colOff>
      <xdr:row>8</xdr:row>
      <xdr:rowOff>127080</xdr:rowOff>
    </xdr:to>
    <xdr:sp macro="" textlink="">
      <xdr:nvSpPr>
        <xdr:cNvPr id="9" name="CustomShape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524920" y="1033200"/>
          <a:ext cx="2556000" cy="617760"/>
        </a:xfrm>
        <a:custGeom>
          <a:avLst/>
          <a:gdLst>
            <a:gd name="textAreaLeft" fmla="*/ 0 w 2556000"/>
            <a:gd name="textAreaRight" fmla="*/ 2556360 w 2556000"/>
            <a:gd name="textAreaTop" fmla="*/ 0 h 617760"/>
            <a:gd name="textAreaBottom" fmla="*/ 618120 h 617760"/>
          </a:gdLst>
          <a:ahLst/>
          <a:cxnLst/>
          <a:rect l="textAreaLeft" t="textAreaTop" r="textAreaRight" b="textAreaBottom"/>
          <a:pathLst>
            <a:path w="14352" h="1602">
              <a:moveTo>
                <a:pt x="266" y="0"/>
              </a:moveTo>
              <a:lnTo>
                <a:pt x="267" y="0"/>
              </a:lnTo>
              <a:cubicBezTo>
                <a:pt x="220" y="0"/>
                <a:pt x="174" y="12"/>
                <a:pt x="133" y="36"/>
              </a:cubicBezTo>
              <a:cubicBezTo>
                <a:pt x="93" y="59"/>
                <a:pt x="59" y="93"/>
                <a:pt x="36" y="133"/>
              </a:cubicBezTo>
              <a:cubicBezTo>
                <a:pt x="12" y="174"/>
                <a:pt x="0" y="220"/>
                <a:pt x="0" y="267"/>
              </a:cubicBezTo>
              <a:lnTo>
                <a:pt x="0" y="1334"/>
              </a:lnTo>
              <a:lnTo>
                <a:pt x="0" y="1334"/>
              </a:lnTo>
              <a:cubicBezTo>
                <a:pt x="0" y="1381"/>
                <a:pt x="12" y="1427"/>
                <a:pt x="36" y="1468"/>
              </a:cubicBezTo>
              <a:cubicBezTo>
                <a:pt x="59" y="1508"/>
                <a:pt x="93" y="1542"/>
                <a:pt x="133" y="1565"/>
              </a:cubicBezTo>
              <a:cubicBezTo>
                <a:pt x="174" y="1589"/>
                <a:pt x="220" y="1601"/>
                <a:pt x="267" y="1601"/>
              </a:cubicBezTo>
              <a:lnTo>
                <a:pt x="14084" y="1600"/>
              </a:lnTo>
              <a:lnTo>
                <a:pt x="14084" y="1601"/>
              </a:lnTo>
              <a:cubicBezTo>
                <a:pt x="14131" y="1601"/>
                <a:pt x="14177" y="1589"/>
                <a:pt x="14218" y="1565"/>
              </a:cubicBezTo>
              <a:cubicBezTo>
                <a:pt x="14258" y="1542"/>
                <a:pt x="14292" y="1508"/>
                <a:pt x="14315" y="1468"/>
              </a:cubicBezTo>
              <a:cubicBezTo>
                <a:pt x="14339" y="1427"/>
                <a:pt x="14351" y="1381"/>
                <a:pt x="14351" y="1334"/>
              </a:cubicBezTo>
              <a:lnTo>
                <a:pt x="14351" y="266"/>
              </a:lnTo>
              <a:lnTo>
                <a:pt x="14351" y="267"/>
              </a:lnTo>
              <a:lnTo>
                <a:pt x="14351" y="267"/>
              </a:lnTo>
              <a:cubicBezTo>
                <a:pt x="14351" y="220"/>
                <a:pt x="14339" y="174"/>
                <a:pt x="14315" y="133"/>
              </a:cubicBezTo>
              <a:cubicBezTo>
                <a:pt x="14292" y="93"/>
                <a:pt x="14258" y="59"/>
                <a:pt x="14218" y="36"/>
              </a:cubicBezTo>
              <a:cubicBezTo>
                <a:pt x="14177" y="12"/>
                <a:pt x="14131" y="0"/>
                <a:pt x="14084" y="0"/>
              </a:cubicBezTo>
              <a:lnTo>
                <a:pt x="266" y="0"/>
              </a:lnTo>
            </a:path>
          </a:pathLst>
        </a:custGeom>
        <a:solidFill>
          <a:srgbClr val="0099C2"/>
        </a:solidFill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- Analítica</a:t>
          </a:r>
          <a:endParaRPr lang="pt-BR" sz="1800" b="0" strike="noStrike" spc="-1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2428920</xdr:colOff>
      <xdr:row>0</xdr:row>
      <xdr:rowOff>114120</xdr:rowOff>
    </xdr:from>
    <xdr:to>
      <xdr:col>1</xdr:col>
      <xdr:colOff>436736</xdr:colOff>
      <xdr:row>2</xdr:row>
      <xdr:rowOff>16560</xdr:rowOff>
    </xdr:to>
    <xdr:sp macro="" textlink="">
      <xdr:nvSpPr>
        <xdr:cNvPr id="8" name="Custom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42892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806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913" y="875"/>
              </a:lnTo>
              <a:lnTo>
                <a:pt x="7913" y="875"/>
              </a:lnTo>
              <a:cubicBezTo>
                <a:pt x="7939" y="875"/>
                <a:pt x="7964" y="868"/>
                <a:pt x="7986" y="855"/>
              </a:cubicBezTo>
              <a:cubicBezTo>
                <a:pt x="8008" y="843"/>
                <a:pt x="8027" y="824"/>
                <a:pt x="8039" y="802"/>
              </a:cubicBezTo>
              <a:cubicBezTo>
                <a:pt x="8052" y="780"/>
                <a:pt x="8059" y="755"/>
                <a:pt x="8059" y="729"/>
              </a:cubicBezTo>
              <a:lnTo>
                <a:pt x="8059" y="145"/>
              </a:lnTo>
              <a:lnTo>
                <a:pt x="8059" y="146"/>
              </a:lnTo>
              <a:lnTo>
                <a:pt x="8059" y="146"/>
              </a:lnTo>
              <a:cubicBezTo>
                <a:pt x="8059" y="120"/>
                <a:pt x="8052" y="95"/>
                <a:pt x="8039" y="73"/>
              </a:cubicBezTo>
              <a:cubicBezTo>
                <a:pt x="8027" y="51"/>
                <a:pt x="8008" y="32"/>
                <a:pt x="7986" y="20"/>
              </a:cubicBezTo>
              <a:cubicBezTo>
                <a:pt x="7964" y="7"/>
                <a:pt x="7939" y="0"/>
                <a:pt x="791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 anchorCtr="1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1</xdr:col>
      <xdr:colOff>574256</xdr:colOff>
      <xdr:row>0</xdr:row>
      <xdr:rowOff>114120</xdr:rowOff>
    </xdr:from>
    <xdr:to>
      <xdr:col>2</xdr:col>
      <xdr:colOff>587926</xdr:colOff>
      <xdr:row>2</xdr:row>
      <xdr:rowOff>16560</xdr:rowOff>
    </xdr:to>
    <xdr:sp macro="" textlink="">
      <xdr:nvSpPr>
        <xdr:cNvPr id="9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2860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7641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494" y="875"/>
              </a:lnTo>
              <a:lnTo>
                <a:pt x="7494" y="875"/>
              </a:lnTo>
              <a:cubicBezTo>
                <a:pt x="7520" y="875"/>
                <a:pt x="7545" y="868"/>
                <a:pt x="7567" y="855"/>
              </a:cubicBezTo>
              <a:cubicBezTo>
                <a:pt x="7589" y="843"/>
                <a:pt x="7608" y="824"/>
                <a:pt x="7620" y="802"/>
              </a:cubicBezTo>
              <a:cubicBezTo>
                <a:pt x="7633" y="780"/>
                <a:pt x="7640" y="755"/>
                <a:pt x="7640" y="729"/>
              </a:cubicBezTo>
              <a:lnTo>
                <a:pt x="7639" y="145"/>
              </a:lnTo>
              <a:lnTo>
                <a:pt x="7640" y="146"/>
              </a:lnTo>
              <a:lnTo>
                <a:pt x="7640" y="146"/>
              </a:lnTo>
              <a:cubicBezTo>
                <a:pt x="7640" y="120"/>
                <a:pt x="7633" y="95"/>
                <a:pt x="7620" y="73"/>
              </a:cubicBezTo>
              <a:cubicBezTo>
                <a:pt x="7608" y="51"/>
                <a:pt x="7589" y="32"/>
                <a:pt x="7567" y="20"/>
              </a:cubicBezTo>
              <a:cubicBezTo>
                <a:pt x="7545" y="7"/>
                <a:pt x="7520" y="0"/>
                <a:pt x="7494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DVA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1571760</xdr:colOff>
      <xdr:row>0</xdr:row>
      <xdr:rowOff>114120</xdr:rowOff>
    </xdr:from>
    <xdr:to>
      <xdr:col>0</xdr:col>
      <xdr:colOff>2291400</xdr:colOff>
      <xdr:row>2</xdr:row>
      <xdr:rowOff>16560</xdr:rowOff>
    </xdr:to>
    <xdr:sp macro="" textlink="">
      <xdr:nvSpPr>
        <xdr:cNvPr id="10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57176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DFC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95400</xdr:colOff>
      <xdr:row>2</xdr:row>
      <xdr:rowOff>95040</xdr:rowOff>
    </xdr:from>
    <xdr:to>
      <xdr:col>0</xdr:col>
      <xdr:colOff>2003040</xdr:colOff>
      <xdr:row>3</xdr:row>
      <xdr:rowOff>226080</xdr:rowOff>
    </xdr:to>
    <xdr:sp macro="" textlink="">
      <xdr:nvSpPr>
        <xdr:cNvPr id="11" name="CustomShape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540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SINTÉTICA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704880</xdr:colOff>
      <xdr:row>0</xdr:row>
      <xdr:rowOff>114120</xdr:rowOff>
    </xdr:from>
    <xdr:to>
      <xdr:col>0</xdr:col>
      <xdr:colOff>1424520</xdr:colOff>
      <xdr:row>2</xdr:row>
      <xdr:rowOff>16560</xdr:rowOff>
    </xdr:to>
    <xdr:sp macro="" textlink="">
      <xdr:nvSpPr>
        <xdr:cNvPr id="12" name="CustomShape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048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014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4867" y="875"/>
              </a:lnTo>
              <a:lnTo>
                <a:pt x="4867" y="875"/>
              </a:lnTo>
              <a:cubicBezTo>
                <a:pt x="4893" y="875"/>
                <a:pt x="4918" y="868"/>
                <a:pt x="4940" y="855"/>
              </a:cubicBezTo>
              <a:cubicBezTo>
                <a:pt x="4962" y="843"/>
                <a:pt x="4981" y="824"/>
                <a:pt x="4993" y="802"/>
              </a:cubicBezTo>
              <a:cubicBezTo>
                <a:pt x="5006" y="780"/>
                <a:pt x="5013" y="755"/>
                <a:pt x="5013" y="729"/>
              </a:cubicBezTo>
              <a:lnTo>
                <a:pt x="5013" y="145"/>
              </a:lnTo>
              <a:lnTo>
                <a:pt x="5013" y="146"/>
              </a:lnTo>
              <a:lnTo>
                <a:pt x="5013" y="146"/>
              </a:lnTo>
              <a:cubicBezTo>
                <a:pt x="5013" y="120"/>
                <a:pt x="5006" y="95"/>
                <a:pt x="4993" y="73"/>
              </a:cubicBezTo>
              <a:cubicBezTo>
                <a:pt x="4981" y="51"/>
                <a:pt x="4962" y="32"/>
                <a:pt x="4940" y="20"/>
              </a:cubicBezTo>
              <a:cubicBezTo>
                <a:pt x="4918" y="7"/>
                <a:pt x="4893" y="0"/>
                <a:pt x="4867" y="0"/>
              </a:cubicBezTo>
              <a:lnTo>
                <a:pt x="145" y="0"/>
              </a:lnTo>
            </a:path>
          </a:pathLst>
        </a:custGeom>
        <a:solidFill>
          <a:srgbClr val="0099C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BP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113040</xdr:colOff>
      <xdr:row>0</xdr:row>
      <xdr:rowOff>95400</xdr:rowOff>
    </xdr:from>
    <xdr:to>
      <xdr:col>0</xdr:col>
      <xdr:colOff>550800</xdr:colOff>
      <xdr:row>2</xdr:row>
      <xdr:rowOff>36000</xdr:rowOff>
    </xdr:to>
    <xdr:pic>
      <xdr:nvPicPr>
        <xdr:cNvPr id="13" name="Imagem 2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13040" y="95400"/>
          <a:ext cx="437760" cy="3978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95400</xdr:colOff>
      <xdr:row>3</xdr:row>
      <xdr:rowOff>323640</xdr:rowOff>
    </xdr:from>
    <xdr:to>
      <xdr:col>0</xdr:col>
      <xdr:colOff>2469240</xdr:colOff>
      <xdr:row>4</xdr:row>
      <xdr:rowOff>73800</xdr:rowOff>
    </xdr:to>
    <xdr:sp macro="" textlink="">
      <xdr:nvSpPr>
        <xdr:cNvPr id="14" name="CustomShape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5400" y="1009440"/>
          <a:ext cx="2373840" cy="359640"/>
        </a:xfrm>
        <a:custGeom>
          <a:avLst/>
          <a:gdLst>
            <a:gd name="textAreaLeft" fmla="*/ 0 w 2373840"/>
            <a:gd name="textAreaRight" fmla="*/ 2374200 w 23738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Dados Operacionais 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2104920</xdr:colOff>
      <xdr:row>2</xdr:row>
      <xdr:rowOff>95040</xdr:rowOff>
    </xdr:from>
    <xdr:to>
      <xdr:col>2</xdr:col>
      <xdr:colOff>594766</xdr:colOff>
      <xdr:row>3</xdr:row>
      <xdr:rowOff>226080</xdr:rowOff>
    </xdr:to>
    <xdr:sp macro="" textlink="">
      <xdr:nvSpPr>
        <xdr:cNvPr id="15" name="CustomShape 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10492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ANALÍTICA  </a:t>
          </a:r>
          <a:endParaRPr lang="pt-BR" sz="1800" b="0" strike="noStrike" spc="-1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2428920</xdr:colOff>
      <xdr:row>0</xdr:row>
      <xdr:rowOff>114120</xdr:rowOff>
    </xdr:from>
    <xdr:to>
      <xdr:col>0</xdr:col>
      <xdr:colOff>3148560</xdr:colOff>
      <xdr:row>2</xdr:row>
      <xdr:rowOff>16560</xdr:rowOff>
    </xdr:to>
    <xdr:sp macro="" textlink="">
      <xdr:nvSpPr>
        <xdr:cNvPr id="16" name="Custom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242892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806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913" y="875"/>
              </a:lnTo>
              <a:lnTo>
                <a:pt x="7913" y="875"/>
              </a:lnTo>
              <a:cubicBezTo>
                <a:pt x="7939" y="875"/>
                <a:pt x="7964" y="868"/>
                <a:pt x="7986" y="855"/>
              </a:cubicBezTo>
              <a:cubicBezTo>
                <a:pt x="8008" y="843"/>
                <a:pt x="8027" y="824"/>
                <a:pt x="8039" y="802"/>
              </a:cubicBezTo>
              <a:cubicBezTo>
                <a:pt x="8052" y="780"/>
                <a:pt x="8059" y="755"/>
                <a:pt x="8059" y="729"/>
              </a:cubicBezTo>
              <a:lnTo>
                <a:pt x="8059" y="145"/>
              </a:lnTo>
              <a:lnTo>
                <a:pt x="8059" y="146"/>
              </a:lnTo>
              <a:lnTo>
                <a:pt x="8059" y="146"/>
              </a:lnTo>
              <a:cubicBezTo>
                <a:pt x="8059" y="120"/>
                <a:pt x="8052" y="95"/>
                <a:pt x="8039" y="73"/>
              </a:cubicBezTo>
              <a:cubicBezTo>
                <a:pt x="8027" y="51"/>
                <a:pt x="8008" y="32"/>
                <a:pt x="7986" y="20"/>
              </a:cubicBezTo>
              <a:cubicBezTo>
                <a:pt x="7964" y="7"/>
                <a:pt x="7939" y="0"/>
                <a:pt x="791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 anchorCtr="1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3286080</xdr:colOff>
      <xdr:row>0</xdr:row>
      <xdr:rowOff>114120</xdr:rowOff>
    </xdr:from>
    <xdr:to>
      <xdr:col>0</xdr:col>
      <xdr:colOff>4005720</xdr:colOff>
      <xdr:row>2</xdr:row>
      <xdr:rowOff>16560</xdr:rowOff>
    </xdr:to>
    <xdr:sp macro="" textlink="">
      <xdr:nvSpPr>
        <xdr:cNvPr id="17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32860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7641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494" y="875"/>
              </a:lnTo>
              <a:lnTo>
                <a:pt x="7494" y="875"/>
              </a:lnTo>
              <a:cubicBezTo>
                <a:pt x="7520" y="875"/>
                <a:pt x="7545" y="868"/>
                <a:pt x="7567" y="855"/>
              </a:cubicBezTo>
              <a:cubicBezTo>
                <a:pt x="7589" y="843"/>
                <a:pt x="7608" y="824"/>
                <a:pt x="7620" y="802"/>
              </a:cubicBezTo>
              <a:cubicBezTo>
                <a:pt x="7633" y="780"/>
                <a:pt x="7640" y="755"/>
                <a:pt x="7640" y="729"/>
              </a:cubicBezTo>
              <a:lnTo>
                <a:pt x="7639" y="145"/>
              </a:lnTo>
              <a:lnTo>
                <a:pt x="7640" y="146"/>
              </a:lnTo>
              <a:lnTo>
                <a:pt x="7640" y="146"/>
              </a:lnTo>
              <a:cubicBezTo>
                <a:pt x="7640" y="120"/>
                <a:pt x="7633" y="95"/>
                <a:pt x="7620" y="73"/>
              </a:cubicBezTo>
              <a:cubicBezTo>
                <a:pt x="7608" y="51"/>
                <a:pt x="7589" y="32"/>
                <a:pt x="7567" y="20"/>
              </a:cubicBezTo>
              <a:cubicBezTo>
                <a:pt x="7545" y="7"/>
                <a:pt x="7520" y="0"/>
                <a:pt x="7494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DVA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1571760</xdr:colOff>
      <xdr:row>0</xdr:row>
      <xdr:rowOff>114120</xdr:rowOff>
    </xdr:from>
    <xdr:to>
      <xdr:col>0</xdr:col>
      <xdr:colOff>2291400</xdr:colOff>
      <xdr:row>2</xdr:row>
      <xdr:rowOff>16560</xdr:rowOff>
    </xdr:to>
    <xdr:sp macro="" textlink="">
      <xdr:nvSpPr>
        <xdr:cNvPr id="18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157176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DFC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95400</xdr:colOff>
      <xdr:row>2</xdr:row>
      <xdr:rowOff>95040</xdr:rowOff>
    </xdr:from>
    <xdr:to>
      <xdr:col>0</xdr:col>
      <xdr:colOff>2003040</xdr:colOff>
      <xdr:row>3</xdr:row>
      <xdr:rowOff>226080</xdr:rowOff>
    </xdr:to>
    <xdr:sp macro="" textlink="">
      <xdr:nvSpPr>
        <xdr:cNvPr id="19" name="CustomShape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9540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SINTÉTICA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704880</xdr:colOff>
      <xdr:row>0</xdr:row>
      <xdr:rowOff>114120</xdr:rowOff>
    </xdr:from>
    <xdr:to>
      <xdr:col>0</xdr:col>
      <xdr:colOff>1424520</xdr:colOff>
      <xdr:row>2</xdr:row>
      <xdr:rowOff>16560</xdr:rowOff>
    </xdr:to>
    <xdr:sp macro="" textlink="">
      <xdr:nvSpPr>
        <xdr:cNvPr id="20" name="CustomShape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7048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014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4867" y="875"/>
              </a:lnTo>
              <a:lnTo>
                <a:pt x="4867" y="875"/>
              </a:lnTo>
              <a:cubicBezTo>
                <a:pt x="4893" y="875"/>
                <a:pt x="4918" y="868"/>
                <a:pt x="4940" y="855"/>
              </a:cubicBezTo>
              <a:cubicBezTo>
                <a:pt x="4962" y="843"/>
                <a:pt x="4981" y="824"/>
                <a:pt x="4993" y="802"/>
              </a:cubicBezTo>
              <a:cubicBezTo>
                <a:pt x="5006" y="780"/>
                <a:pt x="5013" y="755"/>
                <a:pt x="5013" y="729"/>
              </a:cubicBezTo>
              <a:lnTo>
                <a:pt x="5013" y="145"/>
              </a:lnTo>
              <a:lnTo>
                <a:pt x="5013" y="146"/>
              </a:lnTo>
              <a:lnTo>
                <a:pt x="5013" y="146"/>
              </a:lnTo>
              <a:cubicBezTo>
                <a:pt x="5013" y="120"/>
                <a:pt x="5006" y="95"/>
                <a:pt x="4993" y="73"/>
              </a:cubicBezTo>
              <a:cubicBezTo>
                <a:pt x="4981" y="51"/>
                <a:pt x="4962" y="32"/>
                <a:pt x="4940" y="20"/>
              </a:cubicBezTo>
              <a:cubicBezTo>
                <a:pt x="4918" y="7"/>
                <a:pt x="4893" y="0"/>
                <a:pt x="4867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BP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113040</xdr:colOff>
      <xdr:row>0</xdr:row>
      <xdr:rowOff>95400</xdr:rowOff>
    </xdr:from>
    <xdr:to>
      <xdr:col>0</xdr:col>
      <xdr:colOff>550800</xdr:colOff>
      <xdr:row>2</xdr:row>
      <xdr:rowOff>36000</xdr:rowOff>
    </xdr:to>
    <xdr:pic>
      <xdr:nvPicPr>
        <xdr:cNvPr id="21" name="Imagem 2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13040" y="95400"/>
          <a:ext cx="437760" cy="3978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95400</xdr:colOff>
      <xdr:row>3</xdr:row>
      <xdr:rowOff>323640</xdr:rowOff>
    </xdr:from>
    <xdr:to>
      <xdr:col>0</xdr:col>
      <xdr:colOff>2469240</xdr:colOff>
      <xdr:row>4</xdr:row>
      <xdr:rowOff>73800</xdr:rowOff>
    </xdr:to>
    <xdr:sp macro="" textlink="">
      <xdr:nvSpPr>
        <xdr:cNvPr id="22" name="CustomShape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95400" y="1009440"/>
          <a:ext cx="2373840" cy="359640"/>
        </a:xfrm>
        <a:custGeom>
          <a:avLst/>
          <a:gdLst>
            <a:gd name="textAreaLeft" fmla="*/ 0 w 2373840"/>
            <a:gd name="textAreaRight" fmla="*/ 2374200 w 23738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Dados Operacionais 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2104920</xdr:colOff>
      <xdr:row>2</xdr:row>
      <xdr:rowOff>95040</xdr:rowOff>
    </xdr:from>
    <xdr:to>
      <xdr:col>0</xdr:col>
      <xdr:colOff>4012560</xdr:colOff>
      <xdr:row>3</xdr:row>
      <xdr:rowOff>226080</xdr:rowOff>
    </xdr:to>
    <xdr:sp macro="" textlink="">
      <xdr:nvSpPr>
        <xdr:cNvPr id="23" name="CustomShape 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210492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0099C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ANALÍTICA  </a:t>
          </a:r>
          <a:endParaRPr lang="pt-BR" sz="1800" b="0" strike="noStrike" spc="-1"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2428920</xdr:colOff>
      <xdr:row>0</xdr:row>
      <xdr:rowOff>114120</xdr:rowOff>
    </xdr:from>
    <xdr:to>
      <xdr:col>0</xdr:col>
      <xdr:colOff>3148560</xdr:colOff>
      <xdr:row>2</xdr:row>
      <xdr:rowOff>16560</xdr:rowOff>
    </xdr:to>
    <xdr:sp macro="" textlink="">
      <xdr:nvSpPr>
        <xdr:cNvPr id="24" name="Custom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242892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806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913" y="875"/>
              </a:lnTo>
              <a:lnTo>
                <a:pt x="7913" y="875"/>
              </a:lnTo>
              <a:cubicBezTo>
                <a:pt x="7939" y="875"/>
                <a:pt x="7964" y="868"/>
                <a:pt x="7986" y="855"/>
              </a:cubicBezTo>
              <a:cubicBezTo>
                <a:pt x="8008" y="843"/>
                <a:pt x="8027" y="824"/>
                <a:pt x="8039" y="802"/>
              </a:cubicBezTo>
              <a:cubicBezTo>
                <a:pt x="8052" y="780"/>
                <a:pt x="8059" y="755"/>
                <a:pt x="8059" y="729"/>
              </a:cubicBezTo>
              <a:lnTo>
                <a:pt x="8059" y="145"/>
              </a:lnTo>
              <a:lnTo>
                <a:pt x="8059" y="146"/>
              </a:lnTo>
              <a:lnTo>
                <a:pt x="8059" y="146"/>
              </a:lnTo>
              <a:cubicBezTo>
                <a:pt x="8059" y="120"/>
                <a:pt x="8052" y="95"/>
                <a:pt x="8039" y="73"/>
              </a:cubicBezTo>
              <a:cubicBezTo>
                <a:pt x="8027" y="51"/>
                <a:pt x="8008" y="32"/>
                <a:pt x="7986" y="20"/>
              </a:cubicBezTo>
              <a:cubicBezTo>
                <a:pt x="7964" y="7"/>
                <a:pt x="7939" y="0"/>
                <a:pt x="791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 anchorCtr="1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3286080</xdr:colOff>
      <xdr:row>0</xdr:row>
      <xdr:rowOff>114120</xdr:rowOff>
    </xdr:from>
    <xdr:to>
      <xdr:col>0</xdr:col>
      <xdr:colOff>4005720</xdr:colOff>
      <xdr:row>2</xdr:row>
      <xdr:rowOff>16560</xdr:rowOff>
    </xdr:to>
    <xdr:sp macro="" textlink="">
      <xdr:nvSpPr>
        <xdr:cNvPr id="2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32860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7641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494" y="875"/>
              </a:lnTo>
              <a:lnTo>
                <a:pt x="7494" y="875"/>
              </a:lnTo>
              <a:cubicBezTo>
                <a:pt x="7520" y="875"/>
                <a:pt x="7545" y="868"/>
                <a:pt x="7567" y="855"/>
              </a:cubicBezTo>
              <a:cubicBezTo>
                <a:pt x="7589" y="843"/>
                <a:pt x="7608" y="824"/>
                <a:pt x="7620" y="802"/>
              </a:cubicBezTo>
              <a:cubicBezTo>
                <a:pt x="7633" y="780"/>
                <a:pt x="7640" y="755"/>
                <a:pt x="7640" y="729"/>
              </a:cubicBezTo>
              <a:lnTo>
                <a:pt x="7639" y="145"/>
              </a:lnTo>
              <a:lnTo>
                <a:pt x="7640" y="146"/>
              </a:lnTo>
              <a:lnTo>
                <a:pt x="7640" y="146"/>
              </a:lnTo>
              <a:cubicBezTo>
                <a:pt x="7640" y="120"/>
                <a:pt x="7633" y="95"/>
                <a:pt x="7620" y="73"/>
              </a:cubicBezTo>
              <a:cubicBezTo>
                <a:pt x="7608" y="51"/>
                <a:pt x="7589" y="32"/>
                <a:pt x="7567" y="20"/>
              </a:cubicBezTo>
              <a:cubicBezTo>
                <a:pt x="7545" y="7"/>
                <a:pt x="7520" y="0"/>
                <a:pt x="7494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DVA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1571760</xdr:colOff>
      <xdr:row>0</xdr:row>
      <xdr:rowOff>114120</xdr:rowOff>
    </xdr:from>
    <xdr:to>
      <xdr:col>0</xdr:col>
      <xdr:colOff>2291400</xdr:colOff>
      <xdr:row>2</xdr:row>
      <xdr:rowOff>16560</xdr:rowOff>
    </xdr:to>
    <xdr:sp macro="" textlink="">
      <xdr:nvSpPr>
        <xdr:cNvPr id="26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157176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DFC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95400</xdr:colOff>
      <xdr:row>2</xdr:row>
      <xdr:rowOff>95040</xdr:rowOff>
    </xdr:from>
    <xdr:to>
      <xdr:col>0</xdr:col>
      <xdr:colOff>2003040</xdr:colOff>
      <xdr:row>3</xdr:row>
      <xdr:rowOff>226080</xdr:rowOff>
    </xdr:to>
    <xdr:sp macro="" textlink="">
      <xdr:nvSpPr>
        <xdr:cNvPr id="27" name="CustomShape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9540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0099C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SINTÉTICA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704880</xdr:colOff>
      <xdr:row>0</xdr:row>
      <xdr:rowOff>114120</xdr:rowOff>
    </xdr:from>
    <xdr:to>
      <xdr:col>0</xdr:col>
      <xdr:colOff>1424520</xdr:colOff>
      <xdr:row>2</xdr:row>
      <xdr:rowOff>16560</xdr:rowOff>
    </xdr:to>
    <xdr:sp macro="" textlink="">
      <xdr:nvSpPr>
        <xdr:cNvPr id="28" name="CustomShape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7048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014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4867" y="875"/>
              </a:lnTo>
              <a:lnTo>
                <a:pt x="4867" y="875"/>
              </a:lnTo>
              <a:cubicBezTo>
                <a:pt x="4893" y="875"/>
                <a:pt x="4918" y="868"/>
                <a:pt x="4940" y="855"/>
              </a:cubicBezTo>
              <a:cubicBezTo>
                <a:pt x="4962" y="843"/>
                <a:pt x="4981" y="824"/>
                <a:pt x="4993" y="802"/>
              </a:cubicBezTo>
              <a:cubicBezTo>
                <a:pt x="5006" y="780"/>
                <a:pt x="5013" y="755"/>
                <a:pt x="5013" y="729"/>
              </a:cubicBezTo>
              <a:lnTo>
                <a:pt x="5013" y="145"/>
              </a:lnTo>
              <a:lnTo>
                <a:pt x="5013" y="146"/>
              </a:lnTo>
              <a:lnTo>
                <a:pt x="5013" y="146"/>
              </a:lnTo>
              <a:cubicBezTo>
                <a:pt x="5013" y="120"/>
                <a:pt x="5006" y="95"/>
                <a:pt x="4993" y="73"/>
              </a:cubicBezTo>
              <a:cubicBezTo>
                <a:pt x="4981" y="51"/>
                <a:pt x="4962" y="32"/>
                <a:pt x="4940" y="20"/>
              </a:cubicBezTo>
              <a:cubicBezTo>
                <a:pt x="4918" y="7"/>
                <a:pt x="4893" y="0"/>
                <a:pt x="4867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BP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113040</xdr:colOff>
      <xdr:row>0</xdr:row>
      <xdr:rowOff>95400</xdr:rowOff>
    </xdr:from>
    <xdr:to>
      <xdr:col>0</xdr:col>
      <xdr:colOff>550800</xdr:colOff>
      <xdr:row>2</xdr:row>
      <xdr:rowOff>36000</xdr:rowOff>
    </xdr:to>
    <xdr:pic>
      <xdr:nvPicPr>
        <xdr:cNvPr id="29" name="Imagem 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13040" y="95400"/>
          <a:ext cx="437760" cy="3978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95400</xdr:colOff>
      <xdr:row>3</xdr:row>
      <xdr:rowOff>323640</xdr:rowOff>
    </xdr:from>
    <xdr:to>
      <xdr:col>0</xdr:col>
      <xdr:colOff>2469240</xdr:colOff>
      <xdr:row>4</xdr:row>
      <xdr:rowOff>73800</xdr:rowOff>
    </xdr:to>
    <xdr:sp macro="" textlink="">
      <xdr:nvSpPr>
        <xdr:cNvPr id="30" name="CustomShape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95400" y="1009440"/>
          <a:ext cx="2373840" cy="359640"/>
        </a:xfrm>
        <a:custGeom>
          <a:avLst/>
          <a:gdLst>
            <a:gd name="textAreaLeft" fmla="*/ 0 w 2373840"/>
            <a:gd name="textAreaRight" fmla="*/ 2374200 w 23738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Dados Operacionais 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2104920</xdr:colOff>
      <xdr:row>2</xdr:row>
      <xdr:rowOff>95040</xdr:rowOff>
    </xdr:from>
    <xdr:to>
      <xdr:col>0</xdr:col>
      <xdr:colOff>4012560</xdr:colOff>
      <xdr:row>3</xdr:row>
      <xdr:rowOff>226080</xdr:rowOff>
    </xdr:to>
    <xdr:sp macro="" textlink="">
      <xdr:nvSpPr>
        <xdr:cNvPr id="31" name="CustomShape 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210492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ANALÍTICA  </a:t>
          </a:r>
          <a:endParaRPr lang="pt-BR" sz="1800" b="0" strike="noStrike" spc="-1">
            <a:latin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2428920</xdr:colOff>
      <xdr:row>0</xdr:row>
      <xdr:rowOff>114120</xdr:rowOff>
    </xdr:from>
    <xdr:to>
      <xdr:col>0</xdr:col>
      <xdr:colOff>3148560</xdr:colOff>
      <xdr:row>2</xdr:row>
      <xdr:rowOff>16560</xdr:rowOff>
    </xdr:to>
    <xdr:sp macro="" textlink="">
      <xdr:nvSpPr>
        <xdr:cNvPr id="32" name="Custom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242892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806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913" y="875"/>
              </a:lnTo>
              <a:lnTo>
                <a:pt x="7913" y="875"/>
              </a:lnTo>
              <a:cubicBezTo>
                <a:pt x="7939" y="875"/>
                <a:pt x="7964" y="868"/>
                <a:pt x="7986" y="855"/>
              </a:cubicBezTo>
              <a:cubicBezTo>
                <a:pt x="8008" y="843"/>
                <a:pt x="8027" y="824"/>
                <a:pt x="8039" y="802"/>
              </a:cubicBezTo>
              <a:cubicBezTo>
                <a:pt x="8052" y="780"/>
                <a:pt x="8059" y="755"/>
                <a:pt x="8059" y="729"/>
              </a:cubicBezTo>
              <a:lnTo>
                <a:pt x="8059" y="145"/>
              </a:lnTo>
              <a:lnTo>
                <a:pt x="8059" y="146"/>
              </a:lnTo>
              <a:lnTo>
                <a:pt x="8059" y="146"/>
              </a:lnTo>
              <a:cubicBezTo>
                <a:pt x="8059" y="120"/>
                <a:pt x="8052" y="95"/>
                <a:pt x="8039" y="73"/>
              </a:cubicBezTo>
              <a:cubicBezTo>
                <a:pt x="8027" y="51"/>
                <a:pt x="8008" y="32"/>
                <a:pt x="7986" y="20"/>
              </a:cubicBezTo>
              <a:cubicBezTo>
                <a:pt x="7964" y="7"/>
                <a:pt x="7939" y="0"/>
                <a:pt x="7913" y="0"/>
              </a:cubicBezTo>
              <a:lnTo>
                <a:pt x="145" y="0"/>
              </a:lnTo>
            </a:path>
          </a:pathLst>
        </a:custGeom>
        <a:solidFill>
          <a:srgbClr val="0099C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 anchorCtr="1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3286080</xdr:colOff>
      <xdr:row>0</xdr:row>
      <xdr:rowOff>114120</xdr:rowOff>
    </xdr:from>
    <xdr:to>
      <xdr:col>0</xdr:col>
      <xdr:colOff>4005720</xdr:colOff>
      <xdr:row>2</xdr:row>
      <xdr:rowOff>16560</xdr:rowOff>
    </xdr:to>
    <xdr:sp macro="" textlink="">
      <xdr:nvSpPr>
        <xdr:cNvPr id="33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32860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7641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494" y="875"/>
              </a:lnTo>
              <a:lnTo>
                <a:pt x="7494" y="875"/>
              </a:lnTo>
              <a:cubicBezTo>
                <a:pt x="7520" y="875"/>
                <a:pt x="7545" y="868"/>
                <a:pt x="7567" y="855"/>
              </a:cubicBezTo>
              <a:cubicBezTo>
                <a:pt x="7589" y="843"/>
                <a:pt x="7608" y="824"/>
                <a:pt x="7620" y="802"/>
              </a:cubicBezTo>
              <a:cubicBezTo>
                <a:pt x="7633" y="780"/>
                <a:pt x="7640" y="755"/>
                <a:pt x="7640" y="729"/>
              </a:cubicBezTo>
              <a:lnTo>
                <a:pt x="7639" y="145"/>
              </a:lnTo>
              <a:lnTo>
                <a:pt x="7640" y="146"/>
              </a:lnTo>
              <a:lnTo>
                <a:pt x="7640" y="146"/>
              </a:lnTo>
              <a:cubicBezTo>
                <a:pt x="7640" y="120"/>
                <a:pt x="7633" y="95"/>
                <a:pt x="7620" y="73"/>
              </a:cubicBezTo>
              <a:cubicBezTo>
                <a:pt x="7608" y="51"/>
                <a:pt x="7589" y="32"/>
                <a:pt x="7567" y="20"/>
              </a:cubicBezTo>
              <a:cubicBezTo>
                <a:pt x="7545" y="7"/>
                <a:pt x="7520" y="0"/>
                <a:pt x="7494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DVA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1571760</xdr:colOff>
      <xdr:row>0</xdr:row>
      <xdr:rowOff>114120</xdr:rowOff>
    </xdr:from>
    <xdr:to>
      <xdr:col>0</xdr:col>
      <xdr:colOff>2291400</xdr:colOff>
      <xdr:row>2</xdr:row>
      <xdr:rowOff>16560</xdr:rowOff>
    </xdr:to>
    <xdr:sp macro="" textlink="">
      <xdr:nvSpPr>
        <xdr:cNvPr id="34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157176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DFC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95400</xdr:colOff>
      <xdr:row>2</xdr:row>
      <xdr:rowOff>95040</xdr:rowOff>
    </xdr:from>
    <xdr:to>
      <xdr:col>0</xdr:col>
      <xdr:colOff>2003040</xdr:colOff>
      <xdr:row>3</xdr:row>
      <xdr:rowOff>226080</xdr:rowOff>
    </xdr:to>
    <xdr:sp macro="" textlink="">
      <xdr:nvSpPr>
        <xdr:cNvPr id="35" name="CustomShape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9540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SINTÉTICA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704880</xdr:colOff>
      <xdr:row>0</xdr:row>
      <xdr:rowOff>114120</xdr:rowOff>
    </xdr:from>
    <xdr:to>
      <xdr:col>0</xdr:col>
      <xdr:colOff>1424520</xdr:colOff>
      <xdr:row>2</xdr:row>
      <xdr:rowOff>16560</xdr:rowOff>
    </xdr:to>
    <xdr:sp macro="" textlink="">
      <xdr:nvSpPr>
        <xdr:cNvPr id="36" name="CustomShape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/>
      </xdr:nvSpPr>
      <xdr:spPr>
        <a:xfrm>
          <a:off x="7048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014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4867" y="875"/>
              </a:lnTo>
              <a:lnTo>
                <a:pt x="4867" y="875"/>
              </a:lnTo>
              <a:cubicBezTo>
                <a:pt x="4893" y="875"/>
                <a:pt x="4918" y="868"/>
                <a:pt x="4940" y="855"/>
              </a:cubicBezTo>
              <a:cubicBezTo>
                <a:pt x="4962" y="843"/>
                <a:pt x="4981" y="824"/>
                <a:pt x="4993" y="802"/>
              </a:cubicBezTo>
              <a:cubicBezTo>
                <a:pt x="5006" y="780"/>
                <a:pt x="5013" y="755"/>
                <a:pt x="5013" y="729"/>
              </a:cubicBezTo>
              <a:lnTo>
                <a:pt x="5013" y="145"/>
              </a:lnTo>
              <a:lnTo>
                <a:pt x="5013" y="146"/>
              </a:lnTo>
              <a:lnTo>
                <a:pt x="5013" y="146"/>
              </a:lnTo>
              <a:cubicBezTo>
                <a:pt x="5013" y="120"/>
                <a:pt x="5006" y="95"/>
                <a:pt x="4993" y="73"/>
              </a:cubicBezTo>
              <a:cubicBezTo>
                <a:pt x="4981" y="51"/>
                <a:pt x="4962" y="32"/>
                <a:pt x="4940" y="20"/>
              </a:cubicBezTo>
              <a:cubicBezTo>
                <a:pt x="4918" y="7"/>
                <a:pt x="4893" y="0"/>
                <a:pt x="4867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BP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113040</xdr:colOff>
      <xdr:row>0</xdr:row>
      <xdr:rowOff>95400</xdr:rowOff>
    </xdr:from>
    <xdr:to>
      <xdr:col>0</xdr:col>
      <xdr:colOff>550800</xdr:colOff>
      <xdr:row>2</xdr:row>
      <xdr:rowOff>36000</xdr:rowOff>
    </xdr:to>
    <xdr:pic>
      <xdr:nvPicPr>
        <xdr:cNvPr id="37" name="Imagem 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13040" y="95400"/>
          <a:ext cx="437760" cy="3978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95400</xdr:colOff>
      <xdr:row>3</xdr:row>
      <xdr:rowOff>323640</xdr:rowOff>
    </xdr:from>
    <xdr:to>
      <xdr:col>0</xdr:col>
      <xdr:colOff>2469240</xdr:colOff>
      <xdr:row>4</xdr:row>
      <xdr:rowOff>73800</xdr:rowOff>
    </xdr:to>
    <xdr:sp macro="" textlink="">
      <xdr:nvSpPr>
        <xdr:cNvPr id="38" name="CustomShape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/>
      </xdr:nvSpPr>
      <xdr:spPr>
        <a:xfrm>
          <a:off x="95400" y="1009440"/>
          <a:ext cx="2373840" cy="359640"/>
        </a:xfrm>
        <a:custGeom>
          <a:avLst/>
          <a:gdLst>
            <a:gd name="textAreaLeft" fmla="*/ 0 w 2373840"/>
            <a:gd name="textAreaRight" fmla="*/ 2374200 w 23738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Dados Operacionais 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2104920</xdr:colOff>
      <xdr:row>2</xdr:row>
      <xdr:rowOff>95040</xdr:rowOff>
    </xdr:from>
    <xdr:to>
      <xdr:col>0</xdr:col>
      <xdr:colOff>4012560</xdr:colOff>
      <xdr:row>3</xdr:row>
      <xdr:rowOff>226080</xdr:rowOff>
    </xdr:to>
    <xdr:sp macro="" textlink="">
      <xdr:nvSpPr>
        <xdr:cNvPr id="39" name="CustomShape 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>
          <a:off x="210492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ANALÍTICA  </a:t>
          </a:r>
          <a:endParaRPr lang="pt-BR" sz="1800" b="0" strike="noStrike" spc="-1">
            <a:latin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2428920</xdr:colOff>
      <xdr:row>0</xdr:row>
      <xdr:rowOff>114120</xdr:rowOff>
    </xdr:from>
    <xdr:to>
      <xdr:col>0</xdr:col>
      <xdr:colOff>3148560</xdr:colOff>
      <xdr:row>2</xdr:row>
      <xdr:rowOff>16560</xdr:rowOff>
    </xdr:to>
    <xdr:sp macro="" textlink="">
      <xdr:nvSpPr>
        <xdr:cNvPr id="40" name="Custom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/>
      </xdr:nvSpPr>
      <xdr:spPr>
        <a:xfrm>
          <a:off x="242892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806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913" y="875"/>
              </a:lnTo>
              <a:lnTo>
                <a:pt x="7913" y="875"/>
              </a:lnTo>
              <a:cubicBezTo>
                <a:pt x="7939" y="875"/>
                <a:pt x="7964" y="868"/>
                <a:pt x="7986" y="855"/>
              </a:cubicBezTo>
              <a:cubicBezTo>
                <a:pt x="8008" y="843"/>
                <a:pt x="8027" y="824"/>
                <a:pt x="8039" y="802"/>
              </a:cubicBezTo>
              <a:cubicBezTo>
                <a:pt x="8052" y="780"/>
                <a:pt x="8059" y="755"/>
                <a:pt x="8059" y="729"/>
              </a:cubicBezTo>
              <a:lnTo>
                <a:pt x="8059" y="145"/>
              </a:lnTo>
              <a:lnTo>
                <a:pt x="8059" y="146"/>
              </a:lnTo>
              <a:lnTo>
                <a:pt x="8059" y="146"/>
              </a:lnTo>
              <a:cubicBezTo>
                <a:pt x="8059" y="120"/>
                <a:pt x="8052" y="95"/>
                <a:pt x="8039" y="73"/>
              </a:cubicBezTo>
              <a:cubicBezTo>
                <a:pt x="8027" y="51"/>
                <a:pt x="8008" y="32"/>
                <a:pt x="7986" y="20"/>
              </a:cubicBezTo>
              <a:cubicBezTo>
                <a:pt x="7964" y="7"/>
                <a:pt x="7939" y="0"/>
                <a:pt x="791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 anchorCtr="1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3286080</xdr:colOff>
      <xdr:row>0</xdr:row>
      <xdr:rowOff>114120</xdr:rowOff>
    </xdr:from>
    <xdr:to>
      <xdr:col>0</xdr:col>
      <xdr:colOff>4005720</xdr:colOff>
      <xdr:row>2</xdr:row>
      <xdr:rowOff>16560</xdr:rowOff>
    </xdr:to>
    <xdr:sp macro="" textlink="">
      <xdr:nvSpPr>
        <xdr:cNvPr id="41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32860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7641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494" y="875"/>
              </a:lnTo>
              <a:lnTo>
                <a:pt x="7494" y="875"/>
              </a:lnTo>
              <a:cubicBezTo>
                <a:pt x="7520" y="875"/>
                <a:pt x="7545" y="868"/>
                <a:pt x="7567" y="855"/>
              </a:cubicBezTo>
              <a:cubicBezTo>
                <a:pt x="7589" y="843"/>
                <a:pt x="7608" y="824"/>
                <a:pt x="7620" y="802"/>
              </a:cubicBezTo>
              <a:cubicBezTo>
                <a:pt x="7633" y="780"/>
                <a:pt x="7640" y="755"/>
                <a:pt x="7640" y="729"/>
              </a:cubicBezTo>
              <a:lnTo>
                <a:pt x="7639" y="145"/>
              </a:lnTo>
              <a:lnTo>
                <a:pt x="7640" y="146"/>
              </a:lnTo>
              <a:lnTo>
                <a:pt x="7640" y="146"/>
              </a:lnTo>
              <a:cubicBezTo>
                <a:pt x="7640" y="120"/>
                <a:pt x="7633" y="95"/>
                <a:pt x="7620" y="73"/>
              </a:cubicBezTo>
              <a:cubicBezTo>
                <a:pt x="7608" y="51"/>
                <a:pt x="7589" y="32"/>
                <a:pt x="7567" y="20"/>
              </a:cubicBezTo>
              <a:cubicBezTo>
                <a:pt x="7545" y="7"/>
                <a:pt x="7520" y="0"/>
                <a:pt x="7494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DVA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1571760</xdr:colOff>
      <xdr:row>0</xdr:row>
      <xdr:rowOff>114120</xdr:rowOff>
    </xdr:from>
    <xdr:to>
      <xdr:col>0</xdr:col>
      <xdr:colOff>2291400</xdr:colOff>
      <xdr:row>2</xdr:row>
      <xdr:rowOff>16560</xdr:rowOff>
    </xdr:to>
    <xdr:sp macro="" textlink="">
      <xdr:nvSpPr>
        <xdr:cNvPr id="42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/>
      </xdr:nvSpPr>
      <xdr:spPr>
        <a:xfrm>
          <a:off x="157176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0099C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DFC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95400</xdr:colOff>
      <xdr:row>2</xdr:row>
      <xdr:rowOff>95040</xdr:rowOff>
    </xdr:from>
    <xdr:to>
      <xdr:col>0</xdr:col>
      <xdr:colOff>2003040</xdr:colOff>
      <xdr:row>3</xdr:row>
      <xdr:rowOff>226080</xdr:rowOff>
    </xdr:to>
    <xdr:sp macro="" textlink="">
      <xdr:nvSpPr>
        <xdr:cNvPr id="43" name="CustomShape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9540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SINTÉTICA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704880</xdr:colOff>
      <xdr:row>0</xdr:row>
      <xdr:rowOff>114120</xdr:rowOff>
    </xdr:from>
    <xdr:to>
      <xdr:col>0</xdr:col>
      <xdr:colOff>1424520</xdr:colOff>
      <xdr:row>2</xdr:row>
      <xdr:rowOff>16560</xdr:rowOff>
    </xdr:to>
    <xdr:sp macro="" textlink="">
      <xdr:nvSpPr>
        <xdr:cNvPr id="44" name="CustomShape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7048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014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4867" y="875"/>
              </a:lnTo>
              <a:lnTo>
                <a:pt x="4867" y="875"/>
              </a:lnTo>
              <a:cubicBezTo>
                <a:pt x="4893" y="875"/>
                <a:pt x="4918" y="868"/>
                <a:pt x="4940" y="855"/>
              </a:cubicBezTo>
              <a:cubicBezTo>
                <a:pt x="4962" y="843"/>
                <a:pt x="4981" y="824"/>
                <a:pt x="4993" y="802"/>
              </a:cubicBezTo>
              <a:cubicBezTo>
                <a:pt x="5006" y="780"/>
                <a:pt x="5013" y="755"/>
                <a:pt x="5013" y="729"/>
              </a:cubicBezTo>
              <a:lnTo>
                <a:pt x="5013" y="145"/>
              </a:lnTo>
              <a:lnTo>
                <a:pt x="5013" y="146"/>
              </a:lnTo>
              <a:lnTo>
                <a:pt x="5013" y="146"/>
              </a:lnTo>
              <a:cubicBezTo>
                <a:pt x="5013" y="120"/>
                <a:pt x="5006" y="95"/>
                <a:pt x="4993" y="73"/>
              </a:cubicBezTo>
              <a:cubicBezTo>
                <a:pt x="4981" y="51"/>
                <a:pt x="4962" y="32"/>
                <a:pt x="4940" y="20"/>
              </a:cubicBezTo>
              <a:cubicBezTo>
                <a:pt x="4918" y="7"/>
                <a:pt x="4893" y="0"/>
                <a:pt x="4867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BP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113040</xdr:colOff>
      <xdr:row>0</xdr:row>
      <xdr:rowOff>95400</xdr:rowOff>
    </xdr:from>
    <xdr:to>
      <xdr:col>0</xdr:col>
      <xdr:colOff>550800</xdr:colOff>
      <xdr:row>2</xdr:row>
      <xdr:rowOff>36000</xdr:rowOff>
    </xdr:to>
    <xdr:pic>
      <xdr:nvPicPr>
        <xdr:cNvPr id="45" name="Imagem 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13040" y="95400"/>
          <a:ext cx="437760" cy="3978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95400</xdr:colOff>
      <xdr:row>3</xdr:row>
      <xdr:rowOff>323640</xdr:rowOff>
    </xdr:from>
    <xdr:to>
      <xdr:col>0</xdr:col>
      <xdr:colOff>2469240</xdr:colOff>
      <xdr:row>4</xdr:row>
      <xdr:rowOff>73800</xdr:rowOff>
    </xdr:to>
    <xdr:sp macro="" textlink="">
      <xdr:nvSpPr>
        <xdr:cNvPr id="46" name="CustomShape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/>
      </xdr:nvSpPr>
      <xdr:spPr>
        <a:xfrm>
          <a:off x="95400" y="1009440"/>
          <a:ext cx="2373840" cy="359640"/>
        </a:xfrm>
        <a:custGeom>
          <a:avLst/>
          <a:gdLst>
            <a:gd name="textAreaLeft" fmla="*/ 0 w 2373840"/>
            <a:gd name="textAreaRight" fmla="*/ 2374200 w 23738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Dados Operacionais 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2104920</xdr:colOff>
      <xdr:row>2</xdr:row>
      <xdr:rowOff>95040</xdr:rowOff>
    </xdr:from>
    <xdr:to>
      <xdr:col>0</xdr:col>
      <xdr:colOff>4012560</xdr:colOff>
      <xdr:row>3</xdr:row>
      <xdr:rowOff>226080</xdr:rowOff>
    </xdr:to>
    <xdr:sp macro="" textlink="">
      <xdr:nvSpPr>
        <xdr:cNvPr id="47" name="CustomShape 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/>
      </xdr:nvSpPr>
      <xdr:spPr>
        <a:xfrm>
          <a:off x="210492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ANALÍTICA  </a:t>
          </a:r>
          <a:endParaRPr lang="pt-BR" sz="1800" b="0" strike="noStrike" spc="-1">
            <a:latin typeface="Times New Roman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2428920</xdr:colOff>
      <xdr:row>0</xdr:row>
      <xdr:rowOff>114120</xdr:rowOff>
    </xdr:from>
    <xdr:to>
      <xdr:col>0</xdr:col>
      <xdr:colOff>3148560</xdr:colOff>
      <xdr:row>2</xdr:row>
      <xdr:rowOff>16560</xdr:rowOff>
    </xdr:to>
    <xdr:sp macro="" textlink="">
      <xdr:nvSpPr>
        <xdr:cNvPr id="48" name="Custom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/>
      </xdr:nvSpPr>
      <xdr:spPr>
        <a:xfrm>
          <a:off x="242892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806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913" y="875"/>
              </a:lnTo>
              <a:lnTo>
                <a:pt x="7913" y="875"/>
              </a:lnTo>
              <a:cubicBezTo>
                <a:pt x="7939" y="875"/>
                <a:pt x="7964" y="868"/>
                <a:pt x="7986" y="855"/>
              </a:cubicBezTo>
              <a:cubicBezTo>
                <a:pt x="8008" y="843"/>
                <a:pt x="8027" y="824"/>
                <a:pt x="8039" y="802"/>
              </a:cubicBezTo>
              <a:cubicBezTo>
                <a:pt x="8052" y="780"/>
                <a:pt x="8059" y="755"/>
                <a:pt x="8059" y="729"/>
              </a:cubicBezTo>
              <a:lnTo>
                <a:pt x="8059" y="145"/>
              </a:lnTo>
              <a:lnTo>
                <a:pt x="8059" y="146"/>
              </a:lnTo>
              <a:lnTo>
                <a:pt x="8059" y="146"/>
              </a:lnTo>
              <a:cubicBezTo>
                <a:pt x="8059" y="120"/>
                <a:pt x="8052" y="95"/>
                <a:pt x="8039" y="73"/>
              </a:cubicBezTo>
              <a:cubicBezTo>
                <a:pt x="8027" y="51"/>
                <a:pt x="8008" y="32"/>
                <a:pt x="7986" y="20"/>
              </a:cubicBezTo>
              <a:cubicBezTo>
                <a:pt x="7964" y="7"/>
                <a:pt x="7939" y="0"/>
                <a:pt x="791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 anchorCtr="1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3286080</xdr:colOff>
      <xdr:row>0</xdr:row>
      <xdr:rowOff>114120</xdr:rowOff>
    </xdr:from>
    <xdr:to>
      <xdr:col>0</xdr:col>
      <xdr:colOff>4005720</xdr:colOff>
      <xdr:row>2</xdr:row>
      <xdr:rowOff>16560</xdr:rowOff>
    </xdr:to>
    <xdr:sp macro="" textlink="">
      <xdr:nvSpPr>
        <xdr:cNvPr id="49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/>
      </xdr:nvSpPr>
      <xdr:spPr>
        <a:xfrm>
          <a:off x="32860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7641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494" y="875"/>
              </a:lnTo>
              <a:lnTo>
                <a:pt x="7494" y="875"/>
              </a:lnTo>
              <a:cubicBezTo>
                <a:pt x="7520" y="875"/>
                <a:pt x="7545" y="868"/>
                <a:pt x="7567" y="855"/>
              </a:cubicBezTo>
              <a:cubicBezTo>
                <a:pt x="7589" y="843"/>
                <a:pt x="7608" y="824"/>
                <a:pt x="7620" y="802"/>
              </a:cubicBezTo>
              <a:cubicBezTo>
                <a:pt x="7633" y="780"/>
                <a:pt x="7640" y="755"/>
                <a:pt x="7640" y="729"/>
              </a:cubicBezTo>
              <a:lnTo>
                <a:pt x="7639" y="145"/>
              </a:lnTo>
              <a:lnTo>
                <a:pt x="7640" y="146"/>
              </a:lnTo>
              <a:lnTo>
                <a:pt x="7640" y="146"/>
              </a:lnTo>
              <a:cubicBezTo>
                <a:pt x="7640" y="120"/>
                <a:pt x="7633" y="95"/>
                <a:pt x="7620" y="73"/>
              </a:cubicBezTo>
              <a:cubicBezTo>
                <a:pt x="7608" y="51"/>
                <a:pt x="7589" y="32"/>
                <a:pt x="7567" y="20"/>
              </a:cubicBezTo>
              <a:cubicBezTo>
                <a:pt x="7545" y="7"/>
                <a:pt x="7520" y="0"/>
                <a:pt x="7494" y="0"/>
              </a:cubicBezTo>
              <a:lnTo>
                <a:pt x="145" y="0"/>
              </a:lnTo>
            </a:path>
          </a:pathLst>
        </a:custGeom>
        <a:solidFill>
          <a:srgbClr val="0099C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DVA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1571760</xdr:colOff>
      <xdr:row>0</xdr:row>
      <xdr:rowOff>114120</xdr:rowOff>
    </xdr:from>
    <xdr:to>
      <xdr:col>0</xdr:col>
      <xdr:colOff>2291400</xdr:colOff>
      <xdr:row>2</xdr:row>
      <xdr:rowOff>16560</xdr:rowOff>
    </xdr:to>
    <xdr:sp macro="" textlink="">
      <xdr:nvSpPr>
        <xdr:cNvPr id="50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/>
      </xdr:nvSpPr>
      <xdr:spPr>
        <a:xfrm>
          <a:off x="157176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DFC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95400</xdr:colOff>
      <xdr:row>2</xdr:row>
      <xdr:rowOff>95040</xdr:rowOff>
    </xdr:from>
    <xdr:to>
      <xdr:col>0</xdr:col>
      <xdr:colOff>2003040</xdr:colOff>
      <xdr:row>3</xdr:row>
      <xdr:rowOff>226080</xdr:rowOff>
    </xdr:to>
    <xdr:sp macro="" textlink="">
      <xdr:nvSpPr>
        <xdr:cNvPr id="51" name="CustomShape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/>
      </xdr:nvSpPr>
      <xdr:spPr>
        <a:xfrm>
          <a:off x="9540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SINTÉTICA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704880</xdr:colOff>
      <xdr:row>0</xdr:row>
      <xdr:rowOff>114120</xdr:rowOff>
    </xdr:from>
    <xdr:to>
      <xdr:col>0</xdr:col>
      <xdr:colOff>1424520</xdr:colOff>
      <xdr:row>2</xdr:row>
      <xdr:rowOff>16560</xdr:rowOff>
    </xdr:to>
    <xdr:sp macro="" textlink="">
      <xdr:nvSpPr>
        <xdr:cNvPr id="52" name="CustomShape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/>
      </xdr:nvSpPr>
      <xdr:spPr>
        <a:xfrm>
          <a:off x="704880" y="11412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014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4867" y="875"/>
              </a:lnTo>
              <a:lnTo>
                <a:pt x="4867" y="875"/>
              </a:lnTo>
              <a:cubicBezTo>
                <a:pt x="4893" y="875"/>
                <a:pt x="4918" y="868"/>
                <a:pt x="4940" y="855"/>
              </a:cubicBezTo>
              <a:cubicBezTo>
                <a:pt x="4962" y="843"/>
                <a:pt x="4981" y="824"/>
                <a:pt x="4993" y="802"/>
              </a:cubicBezTo>
              <a:cubicBezTo>
                <a:pt x="5006" y="780"/>
                <a:pt x="5013" y="755"/>
                <a:pt x="5013" y="729"/>
              </a:cubicBezTo>
              <a:lnTo>
                <a:pt x="5013" y="145"/>
              </a:lnTo>
              <a:lnTo>
                <a:pt x="5013" y="146"/>
              </a:lnTo>
              <a:lnTo>
                <a:pt x="5013" y="146"/>
              </a:lnTo>
              <a:cubicBezTo>
                <a:pt x="5013" y="120"/>
                <a:pt x="5006" y="95"/>
                <a:pt x="4993" y="73"/>
              </a:cubicBezTo>
              <a:cubicBezTo>
                <a:pt x="4981" y="51"/>
                <a:pt x="4962" y="32"/>
                <a:pt x="4940" y="20"/>
              </a:cubicBezTo>
              <a:cubicBezTo>
                <a:pt x="4918" y="7"/>
                <a:pt x="4893" y="0"/>
                <a:pt x="4867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BP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113040</xdr:colOff>
      <xdr:row>0</xdr:row>
      <xdr:rowOff>95400</xdr:rowOff>
    </xdr:from>
    <xdr:to>
      <xdr:col>0</xdr:col>
      <xdr:colOff>550800</xdr:colOff>
      <xdr:row>2</xdr:row>
      <xdr:rowOff>36000</xdr:rowOff>
    </xdr:to>
    <xdr:pic>
      <xdr:nvPicPr>
        <xdr:cNvPr id="53" name="Imagem 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13040" y="95400"/>
          <a:ext cx="437760" cy="3978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95400</xdr:colOff>
      <xdr:row>3</xdr:row>
      <xdr:rowOff>323640</xdr:rowOff>
    </xdr:from>
    <xdr:to>
      <xdr:col>0</xdr:col>
      <xdr:colOff>2469240</xdr:colOff>
      <xdr:row>4</xdr:row>
      <xdr:rowOff>73800</xdr:rowOff>
    </xdr:to>
    <xdr:sp macro="" textlink="">
      <xdr:nvSpPr>
        <xdr:cNvPr id="54" name="CustomShape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/>
      </xdr:nvSpPr>
      <xdr:spPr>
        <a:xfrm>
          <a:off x="95400" y="1009440"/>
          <a:ext cx="2373840" cy="359640"/>
        </a:xfrm>
        <a:custGeom>
          <a:avLst/>
          <a:gdLst>
            <a:gd name="textAreaLeft" fmla="*/ 0 w 2373840"/>
            <a:gd name="textAreaRight" fmla="*/ 2374200 w 23738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Dados Operacionais 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2104920</xdr:colOff>
      <xdr:row>2</xdr:row>
      <xdr:rowOff>95040</xdr:rowOff>
    </xdr:from>
    <xdr:to>
      <xdr:col>0</xdr:col>
      <xdr:colOff>4012560</xdr:colOff>
      <xdr:row>3</xdr:row>
      <xdr:rowOff>226080</xdr:rowOff>
    </xdr:to>
    <xdr:sp macro="" textlink="">
      <xdr:nvSpPr>
        <xdr:cNvPr id="55" name="CustomShape 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/>
      </xdr:nvSpPr>
      <xdr:spPr>
        <a:xfrm>
          <a:off x="2104920" y="55224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ANALÍTICA  </a:t>
          </a:r>
          <a:endParaRPr lang="pt-BR" sz="1800" b="0" strike="noStrike" spc="-1">
            <a:latin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2428920</xdr:colOff>
      <xdr:row>0</xdr:row>
      <xdr:rowOff>38160</xdr:rowOff>
    </xdr:from>
    <xdr:to>
      <xdr:col>1</xdr:col>
      <xdr:colOff>407477</xdr:colOff>
      <xdr:row>1</xdr:row>
      <xdr:rowOff>169200</xdr:rowOff>
    </xdr:to>
    <xdr:sp macro="" textlink="">
      <xdr:nvSpPr>
        <xdr:cNvPr id="56" name="Custom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/>
      </xdr:nvSpPr>
      <xdr:spPr>
        <a:xfrm>
          <a:off x="2428920" y="3816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806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913" y="875"/>
              </a:lnTo>
              <a:lnTo>
                <a:pt x="7913" y="875"/>
              </a:lnTo>
              <a:cubicBezTo>
                <a:pt x="7939" y="875"/>
                <a:pt x="7964" y="868"/>
                <a:pt x="7986" y="855"/>
              </a:cubicBezTo>
              <a:cubicBezTo>
                <a:pt x="8008" y="843"/>
                <a:pt x="8027" y="824"/>
                <a:pt x="8039" y="802"/>
              </a:cubicBezTo>
              <a:cubicBezTo>
                <a:pt x="8052" y="780"/>
                <a:pt x="8059" y="755"/>
                <a:pt x="8059" y="729"/>
              </a:cubicBezTo>
              <a:lnTo>
                <a:pt x="8059" y="145"/>
              </a:lnTo>
              <a:lnTo>
                <a:pt x="8059" y="146"/>
              </a:lnTo>
              <a:lnTo>
                <a:pt x="8059" y="146"/>
              </a:lnTo>
              <a:cubicBezTo>
                <a:pt x="8059" y="120"/>
                <a:pt x="8052" y="95"/>
                <a:pt x="8039" y="73"/>
              </a:cubicBezTo>
              <a:cubicBezTo>
                <a:pt x="8027" y="51"/>
                <a:pt x="8008" y="32"/>
                <a:pt x="7986" y="20"/>
              </a:cubicBezTo>
              <a:cubicBezTo>
                <a:pt x="7964" y="7"/>
                <a:pt x="7939" y="0"/>
                <a:pt x="791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 anchorCtr="1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2</xdr:col>
      <xdr:colOff>5247</xdr:colOff>
      <xdr:row>0</xdr:row>
      <xdr:rowOff>38160</xdr:rowOff>
    </xdr:from>
    <xdr:to>
      <xdr:col>3</xdr:col>
      <xdr:colOff>18917</xdr:colOff>
      <xdr:row>1</xdr:row>
      <xdr:rowOff>169200</xdr:rowOff>
    </xdr:to>
    <xdr:sp macro="" textlink="">
      <xdr:nvSpPr>
        <xdr:cNvPr id="57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/>
      </xdr:nvSpPr>
      <xdr:spPr>
        <a:xfrm>
          <a:off x="3286080" y="3816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7641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7494" y="875"/>
              </a:lnTo>
              <a:lnTo>
                <a:pt x="7494" y="875"/>
              </a:lnTo>
              <a:cubicBezTo>
                <a:pt x="7520" y="875"/>
                <a:pt x="7545" y="868"/>
                <a:pt x="7567" y="855"/>
              </a:cubicBezTo>
              <a:cubicBezTo>
                <a:pt x="7589" y="843"/>
                <a:pt x="7608" y="824"/>
                <a:pt x="7620" y="802"/>
              </a:cubicBezTo>
              <a:cubicBezTo>
                <a:pt x="7633" y="780"/>
                <a:pt x="7640" y="755"/>
                <a:pt x="7640" y="729"/>
              </a:cubicBezTo>
              <a:lnTo>
                <a:pt x="7639" y="145"/>
              </a:lnTo>
              <a:lnTo>
                <a:pt x="7640" y="146"/>
              </a:lnTo>
              <a:lnTo>
                <a:pt x="7640" y="146"/>
              </a:lnTo>
              <a:cubicBezTo>
                <a:pt x="7640" y="120"/>
                <a:pt x="7633" y="95"/>
                <a:pt x="7620" y="73"/>
              </a:cubicBezTo>
              <a:cubicBezTo>
                <a:pt x="7608" y="51"/>
                <a:pt x="7589" y="32"/>
                <a:pt x="7567" y="20"/>
              </a:cubicBezTo>
              <a:cubicBezTo>
                <a:pt x="7545" y="7"/>
                <a:pt x="7520" y="0"/>
                <a:pt x="7494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DVA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1571760</xdr:colOff>
      <xdr:row>0</xdr:row>
      <xdr:rowOff>38160</xdr:rowOff>
    </xdr:from>
    <xdr:to>
      <xdr:col>0</xdr:col>
      <xdr:colOff>2291400</xdr:colOff>
      <xdr:row>1</xdr:row>
      <xdr:rowOff>169200</xdr:rowOff>
    </xdr:to>
    <xdr:sp macro="" textlink="">
      <xdr:nvSpPr>
        <xdr:cNvPr id="58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/>
      </xdr:nvSpPr>
      <xdr:spPr>
        <a:xfrm>
          <a:off x="1571760" y="3816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DFC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95400</xdr:colOff>
      <xdr:row>2</xdr:row>
      <xdr:rowOff>19080</xdr:rowOff>
    </xdr:from>
    <xdr:to>
      <xdr:col>0</xdr:col>
      <xdr:colOff>2003040</xdr:colOff>
      <xdr:row>3</xdr:row>
      <xdr:rowOff>150120</xdr:rowOff>
    </xdr:to>
    <xdr:sp macro="" textlink="">
      <xdr:nvSpPr>
        <xdr:cNvPr id="59" name="CustomShape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/>
      </xdr:nvSpPr>
      <xdr:spPr>
        <a:xfrm>
          <a:off x="95400" y="47628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SINTÉTICA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704880</xdr:colOff>
      <xdr:row>0</xdr:row>
      <xdr:rowOff>38160</xdr:rowOff>
    </xdr:from>
    <xdr:to>
      <xdr:col>0</xdr:col>
      <xdr:colOff>1424520</xdr:colOff>
      <xdr:row>1</xdr:row>
      <xdr:rowOff>169200</xdr:rowOff>
    </xdr:to>
    <xdr:sp macro="" textlink="">
      <xdr:nvSpPr>
        <xdr:cNvPr id="60" name="CustomShape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/>
      </xdr:nvSpPr>
      <xdr:spPr>
        <a:xfrm>
          <a:off x="704880" y="38160"/>
          <a:ext cx="719640" cy="359640"/>
        </a:xfrm>
        <a:custGeom>
          <a:avLst/>
          <a:gdLst>
            <a:gd name="textAreaLeft" fmla="*/ 0 w 719640"/>
            <a:gd name="textAreaRight" fmla="*/ 720000 w 719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014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4867" y="875"/>
              </a:lnTo>
              <a:lnTo>
                <a:pt x="4867" y="875"/>
              </a:lnTo>
              <a:cubicBezTo>
                <a:pt x="4893" y="875"/>
                <a:pt x="4918" y="868"/>
                <a:pt x="4940" y="855"/>
              </a:cubicBezTo>
              <a:cubicBezTo>
                <a:pt x="4962" y="843"/>
                <a:pt x="4981" y="824"/>
                <a:pt x="4993" y="802"/>
              </a:cubicBezTo>
              <a:cubicBezTo>
                <a:pt x="5006" y="780"/>
                <a:pt x="5013" y="755"/>
                <a:pt x="5013" y="729"/>
              </a:cubicBezTo>
              <a:lnTo>
                <a:pt x="5013" y="145"/>
              </a:lnTo>
              <a:lnTo>
                <a:pt x="5013" y="146"/>
              </a:lnTo>
              <a:lnTo>
                <a:pt x="5013" y="146"/>
              </a:lnTo>
              <a:cubicBezTo>
                <a:pt x="5013" y="120"/>
                <a:pt x="5006" y="95"/>
                <a:pt x="4993" y="73"/>
              </a:cubicBezTo>
              <a:cubicBezTo>
                <a:pt x="4981" y="51"/>
                <a:pt x="4962" y="32"/>
                <a:pt x="4940" y="20"/>
              </a:cubicBezTo>
              <a:cubicBezTo>
                <a:pt x="4918" y="7"/>
                <a:pt x="4893" y="0"/>
                <a:pt x="4867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BP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113040</xdr:colOff>
      <xdr:row>0</xdr:row>
      <xdr:rowOff>19080</xdr:rowOff>
    </xdr:from>
    <xdr:to>
      <xdr:col>0</xdr:col>
      <xdr:colOff>550800</xdr:colOff>
      <xdr:row>1</xdr:row>
      <xdr:rowOff>188280</xdr:rowOff>
    </xdr:to>
    <xdr:pic>
      <xdr:nvPicPr>
        <xdr:cNvPr id="61" name="Imagem 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13040" y="19080"/>
          <a:ext cx="437760" cy="3978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95400</xdr:colOff>
      <xdr:row>3</xdr:row>
      <xdr:rowOff>247680</xdr:rowOff>
    </xdr:from>
    <xdr:to>
      <xdr:col>0</xdr:col>
      <xdr:colOff>2469240</xdr:colOff>
      <xdr:row>4</xdr:row>
      <xdr:rowOff>2202</xdr:rowOff>
    </xdr:to>
    <xdr:sp macro="" textlink="">
      <xdr:nvSpPr>
        <xdr:cNvPr id="62" name="CustomShape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/>
      </xdr:nvSpPr>
      <xdr:spPr>
        <a:xfrm>
          <a:off x="95400" y="933480"/>
          <a:ext cx="2373840" cy="359640"/>
        </a:xfrm>
        <a:custGeom>
          <a:avLst/>
          <a:gdLst>
            <a:gd name="textAreaLeft" fmla="*/ 0 w 2373840"/>
            <a:gd name="textAreaRight" fmla="*/ 2374200 w 23738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6719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6572" y="875"/>
              </a:lnTo>
              <a:lnTo>
                <a:pt x="6572" y="875"/>
              </a:lnTo>
              <a:cubicBezTo>
                <a:pt x="6598" y="875"/>
                <a:pt x="6623" y="868"/>
                <a:pt x="6645" y="855"/>
              </a:cubicBezTo>
              <a:cubicBezTo>
                <a:pt x="6667" y="843"/>
                <a:pt x="6686" y="824"/>
                <a:pt x="6698" y="802"/>
              </a:cubicBezTo>
              <a:cubicBezTo>
                <a:pt x="6711" y="780"/>
                <a:pt x="6718" y="755"/>
                <a:pt x="6718" y="729"/>
              </a:cubicBezTo>
              <a:lnTo>
                <a:pt x="6717" y="145"/>
              </a:lnTo>
              <a:lnTo>
                <a:pt x="6718" y="146"/>
              </a:lnTo>
              <a:lnTo>
                <a:pt x="6718" y="146"/>
              </a:lnTo>
              <a:cubicBezTo>
                <a:pt x="6718" y="120"/>
                <a:pt x="6711" y="95"/>
                <a:pt x="6698" y="73"/>
              </a:cubicBezTo>
              <a:cubicBezTo>
                <a:pt x="6686" y="51"/>
                <a:pt x="6667" y="32"/>
                <a:pt x="6645" y="20"/>
              </a:cubicBezTo>
              <a:cubicBezTo>
                <a:pt x="6623" y="7"/>
                <a:pt x="6598" y="0"/>
                <a:pt x="6572" y="0"/>
              </a:cubicBezTo>
              <a:lnTo>
                <a:pt x="145" y="0"/>
              </a:lnTo>
            </a:path>
          </a:pathLst>
        </a:custGeom>
        <a:solidFill>
          <a:srgbClr val="0099C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Dados Operacionais </a:t>
          </a:r>
          <a:endParaRPr lang="pt-BR" sz="18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2104920</xdr:colOff>
      <xdr:row>2</xdr:row>
      <xdr:rowOff>19080</xdr:rowOff>
    </xdr:from>
    <xdr:to>
      <xdr:col>3</xdr:col>
      <xdr:colOff>25757</xdr:colOff>
      <xdr:row>3</xdr:row>
      <xdr:rowOff>150120</xdr:rowOff>
    </xdr:to>
    <xdr:sp macro="" textlink="">
      <xdr:nvSpPr>
        <xdr:cNvPr id="63" name="CustomShape 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/>
      </xdr:nvSpPr>
      <xdr:spPr>
        <a:xfrm>
          <a:off x="2104920" y="476280"/>
          <a:ext cx="1907640" cy="359640"/>
        </a:xfrm>
        <a:custGeom>
          <a:avLst/>
          <a:gdLst>
            <a:gd name="textAreaLeft" fmla="*/ 0 w 1907640"/>
            <a:gd name="textAreaRight" fmla="*/ 1908000 w 1907640"/>
            <a:gd name="textAreaTop" fmla="*/ 0 h 359640"/>
            <a:gd name="textAreaBottom" fmla="*/ 360000 h 359640"/>
          </a:gdLst>
          <a:ahLst/>
          <a:cxnLst/>
          <a:rect l="textAreaLeft" t="textAreaTop" r="textAreaRight" b="textAreaBottom"/>
          <a:pathLst>
            <a:path w="5820" h="876">
              <a:moveTo>
                <a:pt x="145" y="0"/>
              </a:moveTo>
              <a:lnTo>
                <a:pt x="146" y="0"/>
              </a:lnTo>
              <a:cubicBezTo>
                <a:pt x="120" y="0"/>
                <a:pt x="95" y="7"/>
                <a:pt x="73" y="20"/>
              </a:cubicBezTo>
              <a:cubicBezTo>
                <a:pt x="51" y="32"/>
                <a:pt x="32" y="51"/>
                <a:pt x="20" y="73"/>
              </a:cubicBezTo>
              <a:cubicBezTo>
                <a:pt x="7" y="95"/>
                <a:pt x="0" y="120"/>
                <a:pt x="0" y="146"/>
              </a:cubicBezTo>
              <a:lnTo>
                <a:pt x="0" y="729"/>
              </a:lnTo>
              <a:lnTo>
                <a:pt x="0" y="729"/>
              </a:lnTo>
              <a:cubicBezTo>
                <a:pt x="0" y="755"/>
                <a:pt x="7" y="780"/>
                <a:pt x="20" y="802"/>
              </a:cubicBezTo>
              <a:cubicBezTo>
                <a:pt x="32" y="824"/>
                <a:pt x="51" y="843"/>
                <a:pt x="73" y="855"/>
              </a:cubicBezTo>
              <a:cubicBezTo>
                <a:pt x="95" y="868"/>
                <a:pt x="120" y="875"/>
                <a:pt x="146" y="875"/>
              </a:cubicBezTo>
              <a:lnTo>
                <a:pt x="5673" y="875"/>
              </a:lnTo>
              <a:lnTo>
                <a:pt x="5673" y="875"/>
              </a:lnTo>
              <a:cubicBezTo>
                <a:pt x="5699" y="875"/>
                <a:pt x="5724" y="868"/>
                <a:pt x="5746" y="855"/>
              </a:cubicBezTo>
              <a:cubicBezTo>
                <a:pt x="5768" y="843"/>
                <a:pt x="5787" y="824"/>
                <a:pt x="5799" y="802"/>
              </a:cubicBezTo>
              <a:cubicBezTo>
                <a:pt x="5812" y="780"/>
                <a:pt x="5819" y="755"/>
                <a:pt x="5819" y="729"/>
              </a:cubicBezTo>
              <a:lnTo>
                <a:pt x="5819" y="145"/>
              </a:lnTo>
              <a:lnTo>
                <a:pt x="5819" y="146"/>
              </a:lnTo>
              <a:lnTo>
                <a:pt x="5819" y="146"/>
              </a:lnTo>
              <a:cubicBezTo>
                <a:pt x="5819" y="120"/>
                <a:pt x="5812" y="95"/>
                <a:pt x="5799" y="73"/>
              </a:cubicBezTo>
              <a:cubicBezTo>
                <a:pt x="5787" y="51"/>
                <a:pt x="5768" y="32"/>
                <a:pt x="5746" y="20"/>
              </a:cubicBezTo>
              <a:cubicBezTo>
                <a:pt x="5724" y="7"/>
                <a:pt x="5699" y="0"/>
                <a:pt x="5673" y="0"/>
              </a:cubicBezTo>
              <a:lnTo>
                <a:pt x="145" y="0"/>
              </a:lnTo>
            </a:path>
          </a:pathLst>
        </a:custGeom>
        <a:solidFill>
          <a:srgbClr val="B2B2B2"/>
        </a:solidFill>
        <a:ln w="0">
          <a:solidFill>
            <a:srgbClr val="0099C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pt-BR" sz="1800" b="1" strike="noStrike" spc="-1">
              <a:solidFill>
                <a:srgbClr val="FFFFFF"/>
              </a:solidFill>
              <a:latin typeface="Arial"/>
              <a:ea typeface="Microsoft YaHei"/>
            </a:rPr>
            <a:t>DRE ANALÍTICA  </a:t>
          </a:r>
          <a:endParaRPr lang="pt-BR" sz="1800" b="0" strike="noStrike" spc="-1">
            <a:latin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3.%20Apresenta&#231;&#227;o%20de%20Resultados/2020/4T2020/DEMONSTRACOES%202020.xlsx" TargetMode="External"/><Relationship Id="rId1" Type="http://schemas.openxmlformats.org/officeDocument/2006/relationships/externalLinkPath" Target="/42%20-%20Portal%20RI/03.%20Apresenta&#231;&#227;o%20de%20Resultados/2020/4T2020/DEMONSTRACOE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P"/>
      <sheetName val="DR"/>
      <sheetName val="DRA"/>
      <sheetName val="DMPL"/>
      <sheetName val="DFC"/>
      <sheetName val="DVA"/>
      <sheetName val="INDICADORES"/>
    </sheetNames>
    <sheetDataSet>
      <sheetData sheetId="0"/>
      <sheetData sheetId="1"/>
      <sheetData sheetId="2"/>
      <sheetData sheetId="3"/>
      <sheetData sheetId="4"/>
      <sheetData sheetId="5">
        <row r="10">
          <cell r="B10" t="str">
            <v>Vendas de Mercadorias, Produtos e Serviços</v>
          </cell>
          <cell r="C10">
            <v>2602912</v>
          </cell>
          <cell r="D10"/>
          <cell r="E10">
            <v>2464340</v>
          </cell>
        </row>
        <row r="11">
          <cell r="B11" t="str">
            <v>Receita de Construção</v>
          </cell>
          <cell r="C11">
            <v>169996</v>
          </cell>
          <cell r="D11"/>
          <cell r="E11">
            <v>144307</v>
          </cell>
        </row>
        <row r="12">
          <cell r="B12" t="str">
            <v>Provisão Para Créditos de Liquidação Duvidosa / Reversão</v>
          </cell>
          <cell r="C12">
            <v>21791</v>
          </cell>
          <cell r="D12"/>
          <cell r="E12">
            <v>32657</v>
          </cell>
        </row>
        <row r="13">
          <cell r="B13" t="str">
            <v>Prescrição/Recuperação de Créditos</v>
          </cell>
          <cell r="C13">
            <v>-95020</v>
          </cell>
          <cell r="D13"/>
          <cell r="E13">
            <v>-55540</v>
          </cell>
        </row>
        <row r="14">
          <cell r="B14" t="str">
            <v>Outorga Subdelegação</v>
          </cell>
          <cell r="C14">
            <v>9100</v>
          </cell>
          <cell r="D14"/>
          <cell r="E14">
            <v>9100</v>
          </cell>
        </row>
        <row r="15">
          <cell r="B15" t="str">
            <v>Receitas de Serviços Técnicos</v>
          </cell>
          <cell r="C15">
            <v>1763</v>
          </cell>
          <cell r="D15"/>
          <cell r="E15">
            <v>2167</v>
          </cell>
        </row>
        <row r="16">
          <cell r="B16" t="str">
            <v>Outras Receitas</v>
          </cell>
          <cell r="C16">
            <v>2619</v>
          </cell>
          <cell r="D16"/>
          <cell r="E16">
            <v>2765</v>
          </cell>
        </row>
        <row r="17">
          <cell r="B17"/>
          <cell r="C17">
            <v>2713161</v>
          </cell>
          <cell r="D17"/>
          <cell r="E17">
            <v>2599796</v>
          </cell>
        </row>
        <row r="18">
          <cell r="B18" t="str">
            <v>Insumos Adquiridos de Terceiros</v>
          </cell>
          <cell r="C18"/>
          <cell r="D18"/>
          <cell r="E18"/>
        </row>
        <row r="19">
          <cell r="B19" t="str">
            <v>Custo das Mercadorias e Serviços Vendidos</v>
          </cell>
          <cell r="C19">
            <v>-370146</v>
          </cell>
          <cell r="D19"/>
          <cell r="E19">
            <v>-366120</v>
          </cell>
        </row>
        <row r="20">
          <cell r="B20" t="str">
            <v xml:space="preserve">Matérias Primas Consumidas </v>
          </cell>
          <cell r="C20">
            <v>-4693</v>
          </cell>
          <cell r="D20"/>
          <cell r="E20">
            <v>-7966</v>
          </cell>
        </row>
        <row r="21">
          <cell r="B21" t="str">
            <v xml:space="preserve">Energia, Serviços de Terceiros </v>
          </cell>
          <cell r="C21">
            <v>-197219</v>
          </cell>
          <cell r="D21"/>
          <cell r="E21">
            <v>-190802</v>
          </cell>
        </row>
        <row r="22">
          <cell r="B22" t="str">
            <v>Custo de Construção</v>
          </cell>
          <cell r="C22">
            <v>-169996</v>
          </cell>
          <cell r="D22"/>
          <cell r="E22">
            <v>-144307</v>
          </cell>
        </row>
        <row r="23">
          <cell r="B23" t="str">
            <v>Provisão/Reversão Perdas Estoque</v>
          </cell>
          <cell r="C23">
            <v>10203</v>
          </cell>
          <cell r="D23"/>
          <cell r="E23">
            <v>-9257</v>
          </cell>
        </row>
        <row r="24">
          <cell r="B24" t="str">
            <v>Outras Despesas</v>
          </cell>
          <cell r="C24">
            <v>-47064</v>
          </cell>
          <cell r="D24"/>
          <cell r="E24">
            <v>-28045</v>
          </cell>
        </row>
        <row r="25">
          <cell r="B25"/>
          <cell r="C25">
            <v>-778915</v>
          </cell>
          <cell r="D25"/>
          <cell r="E25">
            <v>-746497</v>
          </cell>
        </row>
        <row r="26">
          <cell r="B26"/>
          <cell r="C26"/>
          <cell r="D26"/>
          <cell r="E26"/>
        </row>
        <row r="27">
          <cell r="B27" t="str">
            <v>Valor Adicionado Bruto</v>
          </cell>
          <cell r="C27">
            <v>1934246</v>
          </cell>
          <cell r="D27"/>
          <cell r="E27">
            <v>1853299</v>
          </cell>
        </row>
        <row r="28">
          <cell r="B28"/>
          <cell r="C28"/>
          <cell r="D28"/>
          <cell r="E28"/>
        </row>
        <row r="29">
          <cell r="B29" t="str">
            <v>Retenções</v>
          </cell>
          <cell r="C29"/>
          <cell r="D29"/>
          <cell r="E29"/>
        </row>
        <row r="30">
          <cell r="B30" t="str">
            <v>Depreciação/Amortização</v>
          </cell>
          <cell r="C30">
            <v>-118162</v>
          </cell>
          <cell r="D30"/>
          <cell r="E30">
            <v>-111152</v>
          </cell>
        </row>
        <row r="31">
          <cell r="B31" t="str">
            <v>Provisões/Reversões</v>
          </cell>
          <cell r="C31">
            <v>363</v>
          </cell>
          <cell r="D31"/>
          <cell r="E31">
            <v>-21342</v>
          </cell>
        </row>
        <row r="32">
          <cell r="B32"/>
          <cell r="C32">
            <v>-117799</v>
          </cell>
          <cell r="D32"/>
          <cell r="E32">
            <v>-132494</v>
          </cell>
        </row>
        <row r="33">
          <cell r="B33"/>
          <cell r="C33"/>
          <cell r="D33"/>
          <cell r="E33"/>
        </row>
        <row r="34">
          <cell r="B34" t="str">
            <v>Valor Adicionado Líquido</v>
          </cell>
          <cell r="C34">
            <v>1816447</v>
          </cell>
          <cell r="D34"/>
          <cell r="E34">
            <v>1720805</v>
          </cell>
        </row>
        <row r="35">
          <cell r="B35"/>
          <cell r="C35"/>
          <cell r="D35"/>
          <cell r="E35"/>
        </row>
        <row r="36">
          <cell r="B36" t="str">
            <v>Valor Adicionado Recebido em Transferência</v>
          </cell>
          <cell r="C36"/>
          <cell r="D36"/>
          <cell r="E36"/>
        </row>
        <row r="37">
          <cell r="B37" t="str">
            <v>Receitas Financeiras</v>
          </cell>
          <cell r="C37">
            <v>70368</v>
          </cell>
          <cell r="D37"/>
          <cell r="E37">
            <v>72412</v>
          </cell>
        </row>
        <row r="38">
          <cell r="B38"/>
          <cell r="C38">
            <v>70368</v>
          </cell>
          <cell r="D38"/>
          <cell r="E38">
            <v>72412</v>
          </cell>
        </row>
        <row r="39">
          <cell r="B39"/>
          <cell r="C39"/>
          <cell r="D39"/>
          <cell r="E39"/>
        </row>
        <row r="40">
          <cell r="B40" t="str">
            <v>Valor Adicionado Total a Distribuir</v>
          </cell>
          <cell r="C40">
            <v>1886815</v>
          </cell>
          <cell r="D40"/>
          <cell r="E40">
            <v>1793217</v>
          </cell>
        </row>
        <row r="41">
          <cell r="B41"/>
          <cell r="C41"/>
          <cell r="D41"/>
          <cell r="E41"/>
        </row>
        <row r="42">
          <cell r="B42" t="str">
            <v>Distribuição do Valor Adicionado</v>
          </cell>
          <cell r="C42">
            <v>1817096</v>
          </cell>
          <cell r="D42"/>
          <cell r="E42">
            <v>1793217</v>
          </cell>
        </row>
        <row r="43">
          <cell r="B43"/>
          <cell r="C43"/>
          <cell r="D43"/>
          <cell r="E43"/>
        </row>
        <row r="44">
          <cell r="B44" t="str">
            <v>Pessoal e Encargos</v>
          </cell>
          <cell r="C44"/>
          <cell r="D44"/>
          <cell r="E44"/>
        </row>
        <row r="45">
          <cell r="B45" t="str">
            <v>Remuneração Direta</v>
          </cell>
          <cell r="C45">
            <v>635641</v>
          </cell>
          <cell r="D45"/>
          <cell r="E45">
            <v>636358</v>
          </cell>
        </row>
        <row r="46">
          <cell r="B46" t="str">
            <v>FGTS</v>
          </cell>
          <cell r="C46">
            <v>49711</v>
          </cell>
          <cell r="D46"/>
          <cell r="E46">
            <v>46792</v>
          </cell>
        </row>
        <row r="47">
          <cell r="B47" t="str">
            <v>Benefícios</v>
          </cell>
          <cell r="C47">
            <v>159307</v>
          </cell>
          <cell r="D47"/>
          <cell r="E47">
            <v>158493</v>
          </cell>
        </row>
        <row r="48">
          <cell r="B48"/>
          <cell r="C48">
            <v>844659</v>
          </cell>
          <cell r="D48"/>
          <cell r="E48">
            <v>841643</v>
          </cell>
        </row>
        <row r="49">
          <cell r="B49" t="str">
            <v>Impostos, Taxas e Contribuições</v>
          </cell>
          <cell r="C49"/>
          <cell r="D49"/>
          <cell r="E49"/>
        </row>
        <row r="50">
          <cell r="B50" t="str">
            <v>Federal</v>
          </cell>
          <cell r="C50">
            <v>454155</v>
          </cell>
          <cell r="D50"/>
          <cell r="E50">
            <v>459914</v>
          </cell>
        </row>
        <row r="51">
          <cell r="B51" t="str">
            <v>Federal – IRPJ /CSLL Diferidos</v>
          </cell>
          <cell r="C51">
            <v>24451</v>
          </cell>
          <cell r="D51"/>
          <cell r="E51">
            <v>65947</v>
          </cell>
        </row>
        <row r="52">
          <cell r="B52" t="str">
            <v>Estadual</v>
          </cell>
          <cell r="C52">
            <v>11160</v>
          </cell>
          <cell r="D52"/>
          <cell r="E52">
            <v>10758</v>
          </cell>
        </row>
        <row r="53">
          <cell r="B53" t="str">
            <v>Municipal</v>
          </cell>
          <cell r="C53">
            <v>4195</v>
          </cell>
          <cell r="D53"/>
          <cell r="E53">
            <v>3648</v>
          </cell>
        </row>
        <row r="54">
          <cell r="B54"/>
          <cell r="C54">
            <v>493961</v>
          </cell>
          <cell r="D54"/>
          <cell r="E54">
            <v>540267</v>
          </cell>
        </row>
        <row r="55">
          <cell r="B55" t="str">
            <v>Remuneração de Capitais de Terceiros</v>
          </cell>
          <cell r="C55"/>
          <cell r="D55"/>
          <cell r="E55"/>
        </row>
        <row r="56">
          <cell r="B56" t="str">
            <v>Juros</v>
          </cell>
          <cell r="C56">
            <v>134348</v>
          </cell>
          <cell r="D56"/>
          <cell r="E56">
            <v>124937</v>
          </cell>
        </row>
        <row r="57">
          <cell r="B57" t="str">
            <v>Aluguéis</v>
          </cell>
          <cell r="C57">
            <v>7782</v>
          </cell>
          <cell r="D57"/>
          <cell r="E57">
            <v>11308</v>
          </cell>
        </row>
        <row r="58">
          <cell r="B58"/>
          <cell r="C58">
            <v>142130</v>
          </cell>
          <cell r="D58"/>
          <cell r="E58">
            <v>136245</v>
          </cell>
        </row>
        <row r="59">
          <cell r="B59"/>
          <cell r="C59"/>
          <cell r="D59"/>
          <cell r="E59"/>
        </row>
        <row r="60">
          <cell r="B60" t="str">
            <v>Remuneração de Capitais Próprio</v>
          </cell>
          <cell r="C60">
            <v>336346</v>
          </cell>
          <cell r="D60"/>
          <cell r="E60">
            <v>275062</v>
          </cell>
        </row>
        <row r="61">
          <cell r="B61" t="str">
            <v>Lucro do exercício</v>
          </cell>
          <cell r="C61">
            <v>336346</v>
          </cell>
          <cell r="D61"/>
          <cell r="E61">
            <v>275062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41"/>
  <sheetViews>
    <sheetView showGridLines="0" showRowColHeaders="0" zoomScale="70" zoomScaleNormal="70" workbookViewId="0">
      <selection activeCell="K29" sqref="K29"/>
    </sheetView>
  </sheetViews>
  <sheetFormatPr defaultColWidth="11.5703125" defaultRowHeight="15" zeroHeight="1" x14ac:dyDescent="0.25"/>
  <cols>
    <col min="1" max="9" width="8.85546875" style="1" customWidth="1"/>
    <col min="10" max="10" width="11.42578125" style="1" customWidth="1"/>
    <col min="11" max="13" width="8.85546875" style="1" customWidth="1"/>
    <col min="14" max="14" width="15.7109375" style="1" customWidth="1"/>
    <col min="15" max="15" width="10.85546875" style="1" customWidth="1"/>
    <col min="16" max="16" width="11.28515625" style="1" customWidth="1"/>
    <col min="17" max="17" width="15.28515625" customWidth="1"/>
    <col min="18" max="1019" width="11.5703125" hidden="1"/>
  </cols>
  <sheetData>
    <row r="1" spans="6:16" x14ac:dyDescent="0.25"/>
    <row r="2" spans="6:16" x14ac:dyDescent="0.25"/>
    <row r="3" spans="6:16" x14ac:dyDescent="0.25"/>
    <row r="4" spans="6:16" x14ac:dyDescent="0.25"/>
    <row r="5" spans="6:16" x14ac:dyDescent="0.25">
      <c r="P5" s="2"/>
    </row>
    <row r="6" spans="6:16" x14ac:dyDescent="0.25">
      <c r="F6" s="3"/>
      <c r="P6" s="2"/>
    </row>
    <row r="7" spans="6:16" x14ac:dyDescent="0.25">
      <c r="P7" s="2"/>
    </row>
    <row r="8" spans="6:16" x14ac:dyDescent="0.25">
      <c r="P8" s="2"/>
    </row>
    <row r="9" spans="6:16" x14ac:dyDescent="0.25"/>
    <row r="10" spans="6:16" x14ac:dyDescent="0.25">
      <c r="P10" s="2"/>
    </row>
    <row r="11" spans="6:16" x14ac:dyDescent="0.25">
      <c r="P11" s="2"/>
    </row>
    <row r="12" spans="6:16" x14ac:dyDescent="0.25">
      <c r="P12" s="2"/>
    </row>
    <row r="13" spans="6:16" x14ac:dyDescent="0.25">
      <c r="P13" s="2"/>
    </row>
    <row r="14" spans="6:16" x14ac:dyDescent="0.25">
      <c r="G14" s="4"/>
      <c r="H14" s="4"/>
      <c r="I14" s="4"/>
      <c r="J14" s="4"/>
      <c r="K14" s="4"/>
      <c r="L14" s="4"/>
      <c r="M14" s="4"/>
      <c r="N14" s="5"/>
      <c r="O14" s="6"/>
      <c r="P14" s="6"/>
    </row>
    <row r="15" spans="6:16" x14ac:dyDescent="0.25"/>
    <row r="16" spans="6:16" x14ac:dyDescent="0.25"/>
    <row r="17" spans="14:20" x14ac:dyDescent="0.25"/>
    <row r="18" spans="14:20" x14ac:dyDescent="0.25"/>
    <row r="19" spans="14:20" x14ac:dyDescent="0.25"/>
    <row r="20" spans="14:20" ht="31.5" x14ac:dyDescent="0.5">
      <c r="N20" s="163" t="s">
        <v>0</v>
      </c>
      <c r="O20" s="163"/>
      <c r="P20" s="163"/>
      <c r="Q20" s="163" t="s">
        <v>0</v>
      </c>
      <c r="R20" s="163"/>
      <c r="S20" s="163"/>
      <c r="T20" s="163"/>
    </row>
    <row r="21" spans="14:20" x14ac:dyDescent="0.25"/>
    <row r="22" spans="14:20" x14ac:dyDescent="0.25"/>
    <row r="23" spans="14:20" x14ac:dyDescent="0.25"/>
    <row r="24" spans="14:20" x14ac:dyDescent="0.25"/>
    <row r="25" spans="14:20" x14ac:dyDescent="0.25"/>
    <row r="26" spans="14:20" x14ac:dyDescent="0.25"/>
    <row r="27" spans="14:20" x14ac:dyDescent="0.25"/>
    <row r="28" spans="14:20" x14ac:dyDescent="0.25"/>
    <row r="29" spans="14:20" x14ac:dyDescent="0.25"/>
    <row r="30" spans="14:20" x14ac:dyDescent="0.25"/>
    <row r="31" spans="14:20" x14ac:dyDescent="0.25"/>
    <row r="32" spans="14:20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</sheetData>
  <mergeCells count="1">
    <mergeCell ref="N20:T20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AJ79"/>
  <sheetViews>
    <sheetView showGridLines="0" zoomScale="85" zoomScaleNormal="85" workbookViewId="0">
      <pane xSplit="1" ySplit="7" topLeftCell="B74" activePane="bottomRight" state="frozen"/>
      <selection pane="topRight" activeCell="B1" sqref="B1"/>
      <selection pane="bottomLeft" activeCell="A32" sqref="A32"/>
      <selection pane="bottomRight"/>
    </sheetView>
  </sheetViews>
  <sheetFormatPr defaultColWidth="8.7109375" defaultRowHeight="15" x14ac:dyDescent="0.25"/>
  <cols>
    <col min="1" max="1" width="40.7109375" customWidth="1"/>
    <col min="2" max="4" width="10.5703125" bestFit="1" customWidth="1"/>
    <col min="5" max="5" width="12" customWidth="1"/>
    <col min="6" max="6" width="10.7109375" customWidth="1"/>
    <col min="7" max="11" width="10.5703125" bestFit="1" customWidth="1"/>
    <col min="12" max="12" width="10.5703125" style="119" bestFit="1" customWidth="1"/>
    <col min="13" max="15" width="10.5703125" bestFit="1" customWidth="1"/>
    <col min="16" max="16" width="10.5703125" style="119" bestFit="1" customWidth="1"/>
    <col min="17" max="19" width="10.5703125" bestFit="1" customWidth="1"/>
    <col min="20" max="20" width="10.5703125" style="113" bestFit="1" customWidth="1"/>
    <col min="21" max="23" width="10.5703125" bestFit="1" customWidth="1"/>
    <col min="24" max="24" width="10.5703125" style="113" bestFit="1" customWidth="1"/>
    <col min="25" max="27" width="10.5703125" bestFit="1" customWidth="1"/>
    <col min="28" max="28" width="10.5703125" style="113" bestFit="1" customWidth="1"/>
    <col min="29" max="31" width="10.5703125" bestFit="1" customWidth="1"/>
    <col min="32" max="32" width="12.7109375" style="1" customWidth="1"/>
    <col min="33" max="36" width="8.7109375" style="1"/>
  </cols>
  <sheetData>
    <row r="1" spans="1:32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AE1" s="1"/>
    </row>
    <row r="2" spans="1:32" ht="18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2" ht="48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2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2" ht="15.75" customHeight="1" x14ac:dyDescent="0.25">
      <c r="A6" s="9" t="s">
        <v>1</v>
      </c>
      <c r="B6" s="9"/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2" ht="15.75" customHeight="1" x14ac:dyDescent="0.25">
      <c r="A7" s="8" t="s">
        <v>2</v>
      </c>
      <c r="B7" s="10" t="s">
        <v>278</v>
      </c>
      <c r="C7" s="10" t="s">
        <v>275</v>
      </c>
      <c r="D7" s="10" t="s">
        <v>274</v>
      </c>
      <c r="E7" s="10" t="s">
        <v>270</v>
      </c>
      <c r="F7" s="10" t="s">
        <v>269</v>
      </c>
      <c r="G7" s="10" t="s">
        <v>265</v>
      </c>
      <c r="H7" s="10" t="s">
        <v>263</v>
      </c>
      <c r="I7" s="10" t="s">
        <v>262</v>
      </c>
      <c r="J7" s="10" t="s">
        <v>260</v>
      </c>
      <c r="K7" s="10" t="s">
        <v>257</v>
      </c>
      <c r="L7" s="10" t="s">
        <v>255</v>
      </c>
      <c r="M7" s="10" t="s">
        <v>254</v>
      </c>
      <c r="N7" s="10" t="s">
        <v>250</v>
      </c>
      <c r="O7" s="10" t="s">
        <v>246</v>
      </c>
      <c r="P7" s="10" t="s">
        <v>3</v>
      </c>
      <c r="Q7" s="10" t="s">
        <v>4</v>
      </c>
      <c r="R7" s="10" t="s">
        <v>5</v>
      </c>
      <c r="S7" s="10" t="s">
        <v>6</v>
      </c>
      <c r="T7" s="10" t="s">
        <v>7</v>
      </c>
      <c r="U7" s="10" t="s">
        <v>8</v>
      </c>
      <c r="V7" s="10" t="s">
        <v>9</v>
      </c>
      <c r="W7" s="10" t="s">
        <v>10</v>
      </c>
      <c r="X7" s="10" t="s">
        <v>11</v>
      </c>
      <c r="Y7" s="10" t="s">
        <v>194</v>
      </c>
      <c r="Z7" s="10" t="s">
        <v>195</v>
      </c>
      <c r="AA7" s="10" t="s">
        <v>196</v>
      </c>
      <c r="AB7" s="10" t="s">
        <v>12</v>
      </c>
      <c r="AC7" s="10" t="s">
        <v>197</v>
      </c>
      <c r="AD7" s="10" t="s">
        <v>198</v>
      </c>
      <c r="AE7" s="10" t="s">
        <v>199</v>
      </c>
    </row>
    <row r="8" spans="1:32" x14ac:dyDescent="0.25">
      <c r="A8" s="11" t="s">
        <v>13</v>
      </c>
      <c r="B8" s="155"/>
      <c r="C8" s="155"/>
      <c r="D8" s="155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2" x14ac:dyDescent="0.25">
      <c r="A9" s="13" t="s">
        <v>14</v>
      </c>
      <c r="B9" s="165">
        <f t="shared" ref="B9" si="0">SUM(B10:B19)</f>
        <v>1869036</v>
      </c>
      <c r="C9" s="14">
        <f t="shared" ref="C9:E9" si="1">SUM(C10:C19)</f>
        <v>2015531</v>
      </c>
      <c r="D9" s="14">
        <f t="shared" si="1"/>
        <v>1794680</v>
      </c>
      <c r="E9" s="14">
        <f t="shared" si="1"/>
        <v>1858457</v>
      </c>
      <c r="F9" s="14">
        <f t="shared" ref="F9:G9" si="2">SUM(F10:F19)</f>
        <v>1885172</v>
      </c>
      <c r="G9" s="14">
        <f t="shared" si="2"/>
        <v>1662977</v>
      </c>
      <c r="H9" s="14">
        <f t="shared" ref="H9:I9" si="3">SUM(H10:H19)</f>
        <v>1754568</v>
      </c>
      <c r="I9" s="14">
        <f t="shared" si="3"/>
        <v>1811714</v>
      </c>
      <c r="J9" s="14">
        <f t="shared" ref="J9:K9" si="4">SUM(J10:J19)</f>
        <v>1419553</v>
      </c>
      <c r="K9" s="14">
        <f t="shared" si="4"/>
        <v>1557273</v>
      </c>
      <c r="L9" s="14">
        <f t="shared" ref="L9:M9" si="5">SUM(L10:L19)</f>
        <v>1664116</v>
      </c>
      <c r="M9" s="14">
        <f t="shared" si="5"/>
        <v>1721429</v>
      </c>
      <c r="N9" s="14">
        <f t="shared" ref="N9:U9" si="6">SUM(N10:N19)</f>
        <v>1311632</v>
      </c>
      <c r="O9" s="14">
        <f t="shared" si="6"/>
        <v>1357607</v>
      </c>
      <c r="P9" s="14">
        <f t="shared" si="6"/>
        <v>1381935</v>
      </c>
      <c r="Q9" s="14">
        <f t="shared" si="6"/>
        <v>1390230</v>
      </c>
      <c r="R9" s="14">
        <f t="shared" si="6"/>
        <v>1110670</v>
      </c>
      <c r="S9" s="14">
        <f t="shared" si="6"/>
        <v>1083325</v>
      </c>
      <c r="T9" s="14">
        <f t="shared" ref="T9" si="7">SUM(T10:T19)</f>
        <v>1155927</v>
      </c>
      <c r="U9" s="14">
        <f t="shared" si="6"/>
        <v>1154865</v>
      </c>
      <c r="V9" s="14">
        <f t="shared" ref="V9:AB9" si="8">SUM(V10:V18)</f>
        <v>806476</v>
      </c>
      <c r="W9" s="14">
        <f t="shared" si="8"/>
        <v>824164</v>
      </c>
      <c r="X9" s="14">
        <f t="shared" si="8"/>
        <v>768818</v>
      </c>
      <c r="Y9" s="14">
        <f t="shared" ref="Y9" si="9">SUM(Y10:Y19)</f>
        <v>800080</v>
      </c>
      <c r="Z9" s="14">
        <f t="shared" ref="Z9:AA9" si="10">SUM(Z10:Z18)</f>
        <v>850623</v>
      </c>
      <c r="AA9" s="14">
        <f t="shared" si="10"/>
        <v>629374</v>
      </c>
      <c r="AB9" s="14">
        <f t="shared" si="8"/>
        <v>654061</v>
      </c>
      <c r="AC9" s="14">
        <f t="shared" ref="AC9" si="11">SUM(AC10:AC19)</f>
        <v>637509</v>
      </c>
      <c r="AD9" s="14">
        <f t="shared" ref="AD9:AE9" si="12">SUM(AD10:AD18)</f>
        <v>500630</v>
      </c>
      <c r="AE9" s="14">
        <f t="shared" si="12"/>
        <v>502147</v>
      </c>
      <c r="AF9" s="15"/>
    </row>
    <row r="10" spans="1:32" x14ac:dyDescent="0.25">
      <c r="A10" s="16" t="s">
        <v>15</v>
      </c>
      <c r="B10" s="166">
        <v>215299</v>
      </c>
      <c r="C10" s="17">
        <v>308766</v>
      </c>
      <c r="D10" s="17">
        <v>515164</v>
      </c>
      <c r="E10" s="17">
        <v>321520</v>
      </c>
      <c r="F10" s="17">
        <v>164545</v>
      </c>
      <c r="G10" s="17">
        <v>424889</v>
      </c>
      <c r="H10" s="17">
        <v>389201</v>
      </c>
      <c r="I10" s="17">
        <v>294783</v>
      </c>
      <c r="J10" s="17">
        <v>28462</v>
      </c>
      <c r="K10" s="17">
        <v>34085</v>
      </c>
      <c r="L10" s="17">
        <v>59266</v>
      </c>
      <c r="M10" s="17">
        <v>134618</v>
      </c>
      <c r="N10" s="17">
        <v>17958</v>
      </c>
      <c r="O10" s="17">
        <v>38638</v>
      </c>
      <c r="P10" s="17">
        <v>81606</v>
      </c>
      <c r="Q10" s="17">
        <v>54511</v>
      </c>
      <c r="R10" s="17">
        <v>23825</v>
      </c>
      <c r="S10" s="17">
        <v>92822</v>
      </c>
      <c r="T10" s="17">
        <v>569228</v>
      </c>
      <c r="U10" s="17">
        <v>231035</v>
      </c>
      <c r="V10" s="17">
        <v>188016</v>
      </c>
      <c r="W10" s="17">
        <v>202917</v>
      </c>
      <c r="X10" s="17">
        <v>168144</v>
      </c>
      <c r="Y10" s="17">
        <v>192480</v>
      </c>
      <c r="Z10" s="17">
        <v>278331</v>
      </c>
      <c r="AA10" s="17">
        <v>116738</v>
      </c>
      <c r="AB10" s="17">
        <v>169607</v>
      </c>
      <c r="AC10" s="17">
        <v>183927</v>
      </c>
      <c r="AD10" s="17">
        <v>54114</v>
      </c>
      <c r="AE10" s="17">
        <v>73081</v>
      </c>
      <c r="AF10" s="15"/>
    </row>
    <row r="11" spans="1:32" x14ac:dyDescent="0.25">
      <c r="A11" s="18" t="s">
        <v>16</v>
      </c>
      <c r="B11" s="167">
        <v>693109</v>
      </c>
      <c r="C11" s="19">
        <v>818234</v>
      </c>
      <c r="D11" s="19">
        <v>381637</v>
      </c>
      <c r="E11" s="19">
        <v>653785</v>
      </c>
      <c r="F11" s="19">
        <v>901573</v>
      </c>
      <c r="G11" s="19">
        <v>411828</v>
      </c>
      <c r="H11" s="19">
        <v>568368</v>
      </c>
      <c r="I11" s="19">
        <v>667094</v>
      </c>
      <c r="J11" s="19">
        <v>546773</v>
      </c>
      <c r="K11" s="19">
        <v>721757</v>
      </c>
      <c r="L11" s="19">
        <v>815781</v>
      </c>
      <c r="M11" s="19">
        <v>799062</v>
      </c>
      <c r="N11" s="19">
        <v>540782</v>
      </c>
      <c r="O11" s="19">
        <v>608953</v>
      </c>
      <c r="P11" s="19">
        <v>615746</v>
      </c>
      <c r="Q11" s="19">
        <v>614834</v>
      </c>
      <c r="R11" s="19">
        <v>417967</v>
      </c>
      <c r="S11" s="19">
        <v>343090</v>
      </c>
      <c r="T11" s="19" t="s">
        <v>17</v>
      </c>
      <c r="U11" s="19">
        <v>289953</v>
      </c>
      <c r="V11" s="19" t="s">
        <v>17</v>
      </c>
      <c r="W11" s="19" t="s">
        <v>17</v>
      </c>
      <c r="X11" s="19" t="s">
        <v>17</v>
      </c>
      <c r="Y11" s="19"/>
      <c r="Z11" s="19"/>
      <c r="AA11" s="19"/>
      <c r="AB11" s="19" t="s">
        <v>17</v>
      </c>
      <c r="AC11" s="19"/>
      <c r="AD11" s="19"/>
      <c r="AE11" s="19"/>
      <c r="AF11" s="15"/>
    </row>
    <row r="12" spans="1:32" x14ac:dyDescent="0.25">
      <c r="A12" s="16" t="s">
        <v>18</v>
      </c>
      <c r="B12" s="166">
        <v>331</v>
      </c>
      <c r="C12" s="17">
        <v>326</v>
      </c>
      <c r="D12" s="17">
        <v>3506</v>
      </c>
      <c r="E12" s="17">
        <v>3388</v>
      </c>
      <c r="F12" s="17">
        <v>3268</v>
      </c>
      <c r="G12" s="17">
        <v>3166</v>
      </c>
      <c r="H12" s="17">
        <v>3075</v>
      </c>
      <c r="I12" s="17">
        <v>2998</v>
      </c>
      <c r="J12" s="17">
        <v>280</v>
      </c>
      <c r="K12" s="17">
        <v>277</v>
      </c>
      <c r="L12" s="17">
        <v>271</v>
      </c>
      <c r="M12" s="17">
        <v>281</v>
      </c>
      <c r="N12" s="17">
        <v>275</v>
      </c>
      <c r="O12" s="17">
        <v>271</v>
      </c>
      <c r="P12" s="17">
        <v>264</v>
      </c>
      <c r="Q12" s="17">
        <v>894</v>
      </c>
      <c r="R12" s="17">
        <v>868</v>
      </c>
      <c r="S12" s="17">
        <v>848</v>
      </c>
      <c r="T12" s="17">
        <v>3360</v>
      </c>
      <c r="U12" s="17">
        <v>3996</v>
      </c>
      <c r="V12" s="17">
        <v>1889</v>
      </c>
      <c r="W12" s="17">
        <v>1476</v>
      </c>
      <c r="X12" s="17">
        <v>0</v>
      </c>
      <c r="Y12" s="17">
        <v>8402</v>
      </c>
      <c r="Z12" s="17">
        <v>8359</v>
      </c>
      <c r="AA12" s="17">
        <v>8299</v>
      </c>
      <c r="AB12" s="17">
        <v>8218</v>
      </c>
      <c r="AC12" s="17">
        <v>8119</v>
      </c>
      <c r="AD12" s="17">
        <v>7997</v>
      </c>
      <c r="AE12" s="17">
        <v>7879</v>
      </c>
      <c r="AF12" s="15"/>
    </row>
    <row r="13" spans="1:32" x14ac:dyDescent="0.25">
      <c r="A13" s="18" t="s">
        <v>19</v>
      </c>
      <c r="B13" s="167">
        <v>709146</v>
      </c>
      <c r="C13" s="19">
        <v>656673</v>
      </c>
      <c r="D13" s="19">
        <v>676254</v>
      </c>
      <c r="E13" s="19">
        <v>674913</v>
      </c>
      <c r="F13" s="19">
        <v>623248</v>
      </c>
      <c r="G13" s="19">
        <v>600551</v>
      </c>
      <c r="H13" s="19">
        <v>590185</v>
      </c>
      <c r="I13" s="19">
        <v>628995</v>
      </c>
      <c r="J13" s="19">
        <v>620973</v>
      </c>
      <c r="K13" s="19">
        <v>589873</v>
      </c>
      <c r="L13" s="19">
        <v>602855</v>
      </c>
      <c r="M13" s="19">
        <v>591751</v>
      </c>
      <c r="N13" s="19">
        <v>557030</v>
      </c>
      <c r="O13" s="19">
        <v>512875</v>
      </c>
      <c r="P13" s="19">
        <v>517470</v>
      </c>
      <c r="Q13" s="19">
        <v>548876</v>
      </c>
      <c r="R13" s="19">
        <v>515674</v>
      </c>
      <c r="S13" s="19">
        <v>496453</v>
      </c>
      <c r="T13" s="19">
        <v>470243</v>
      </c>
      <c r="U13" s="19">
        <v>512006</v>
      </c>
      <c r="V13" s="19">
        <v>502530</v>
      </c>
      <c r="W13" s="19">
        <v>492782</v>
      </c>
      <c r="X13" s="19">
        <v>490455</v>
      </c>
      <c r="Y13" s="19">
        <v>492041</v>
      </c>
      <c r="Z13" s="19">
        <v>472728</v>
      </c>
      <c r="AA13" s="19">
        <v>412972</v>
      </c>
      <c r="AB13" s="19">
        <v>392400</v>
      </c>
      <c r="AC13" s="19">
        <v>347426</v>
      </c>
      <c r="AD13" s="19">
        <v>328918</v>
      </c>
      <c r="AE13" s="19">
        <v>299647</v>
      </c>
      <c r="AF13" s="15"/>
    </row>
    <row r="14" spans="1:32" x14ac:dyDescent="0.25">
      <c r="A14" s="16" t="s">
        <v>20</v>
      </c>
      <c r="B14" s="166">
        <v>129416</v>
      </c>
      <c r="C14" s="17">
        <v>118754</v>
      </c>
      <c r="D14" s="17">
        <v>109467</v>
      </c>
      <c r="E14" s="17">
        <v>100268</v>
      </c>
      <c r="F14" s="17">
        <v>106925</v>
      </c>
      <c r="G14" s="17">
        <v>102687</v>
      </c>
      <c r="H14" s="17">
        <v>103344</v>
      </c>
      <c r="I14" s="17">
        <v>108663</v>
      </c>
      <c r="J14" s="17">
        <v>113458</v>
      </c>
      <c r="K14" s="17">
        <v>114874</v>
      </c>
      <c r="L14" s="17">
        <v>109034</v>
      </c>
      <c r="M14" s="17">
        <v>106775</v>
      </c>
      <c r="N14" s="17">
        <v>101992</v>
      </c>
      <c r="O14" s="17">
        <v>92748</v>
      </c>
      <c r="P14" s="17">
        <v>80995</v>
      </c>
      <c r="Q14" s="17">
        <v>76323</v>
      </c>
      <c r="R14" s="17">
        <v>78067</v>
      </c>
      <c r="S14" s="17">
        <v>69962</v>
      </c>
      <c r="T14" s="17">
        <v>54624</v>
      </c>
      <c r="U14" s="17">
        <v>51524</v>
      </c>
      <c r="V14" s="17">
        <v>52849</v>
      </c>
      <c r="W14" s="17">
        <v>63015</v>
      </c>
      <c r="X14" s="17">
        <v>50496</v>
      </c>
      <c r="Y14" s="17">
        <v>52335</v>
      </c>
      <c r="Z14" s="17">
        <v>46082</v>
      </c>
      <c r="AA14" s="17">
        <v>42014</v>
      </c>
      <c r="AB14" s="17">
        <v>45722</v>
      </c>
      <c r="AC14" s="17">
        <v>53449</v>
      </c>
      <c r="AD14" s="17">
        <v>67813</v>
      </c>
      <c r="AE14" s="17">
        <v>78474</v>
      </c>
      <c r="AF14" s="15"/>
    </row>
    <row r="15" spans="1:32" x14ac:dyDescent="0.25">
      <c r="A15" s="18" t="s">
        <v>21</v>
      </c>
      <c r="B15" s="167">
        <v>40298</v>
      </c>
      <c r="C15" s="19">
        <v>39330</v>
      </c>
      <c r="D15" s="19">
        <v>34034</v>
      </c>
      <c r="E15" s="19">
        <v>39874</v>
      </c>
      <c r="F15" s="19">
        <v>34387</v>
      </c>
      <c r="G15" s="19">
        <v>31776</v>
      </c>
      <c r="H15" s="19">
        <v>30233</v>
      </c>
      <c r="I15" s="19">
        <v>22857</v>
      </c>
      <c r="J15" s="19">
        <v>30980</v>
      </c>
      <c r="K15" s="19">
        <v>32110</v>
      </c>
      <c r="L15" s="19">
        <v>24913</v>
      </c>
      <c r="M15" s="19">
        <v>16911</v>
      </c>
      <c r="N15" s="19">
        <v>27345</v>
      </c>
      <c r="O15" s="19">
        <v>26813</v>
      </c>
      <c r="P15" s="19">
        <v>22132</v>
      </c>
      <c r="Q15" s="19">
        <v>8525</v>
      </c>
      <c r="R15" s="19">
        <v>15542</v>
      </c>
      <c r="S15" s="19">
        <v>22826</v>
      </c>
      <c r="T15" s="19">
        <v>8030</v>
      </c>
      <c r="U15" s="19">
        <v>5082</v>
      </c>
      <c r="V15" s="19">
        <v>19087</v>
      </c>
      <c r="W15" s="19">
        <v>18694</v>
      </c>
      <c r="X15" s="19">
        <v>18550</v>
      </c>
      <c r="Y15" s="19">
        <v>7870</v>
      </c>
      <c r="Z15" s="19">
        <v>7072</v>
      </c>
      <c r="AA15" s="19">
        <v>2853</v>
      </c>
      <c r="AB15" s="19">
        <v>2491</v>
      </c>
      <c r="AC15" s="19">
        <v>866</v>
      </c>
      <c r="AD15" s="19">
        <v>4638</v>
      </c>
      <c r="AE15" s="19">
        <v>4319</v>
      </c>
      <c r="AF15" s="15"/>
    </row>
    <row r="16" spans="1:32" x14ac:dyDescent="0.25">
      <c r="A16" s="16" t="s">
        <v>22</v>
      </c>
      <c r="B16" s="166">
        <v>36869</v>
      </c>
      <c r="C16" s="17">
        <v>31136</v>
      </c>
      <c r="D16" s="17">
        <v>22721</v>
      </c>
      <c r="E16" s="17">
        <v>40668</v>
      </c>
      <c r="F16" s="17">
        <v>35216</v>
      </c>
      <c r="G16" s="17">
        <v>29829</v>
      </c>
      <c r="H16" s="17">
        <v>22785</v>
      </c>
      <c r="I16" s="17">
        <v>39833</v>
      </c>
      <c r="J16" s="17">
        <v>38916</v>
      </c>
      <c r="K16" s="17">
        <v>31256</v>
      </c>
      <c r="L16" s="17">
        <v>19444</v>
      </c>
      <c r="M16" s="17">
        <v>36387</v>
      </c>
      <c r="N16" s="17">
        <v>34992</v>
      </c>
      <c r="O16" s="17">
        <v>26143</v>
      </c>
      <c r="P16" s="17">
        <v>17275</v>
      </c>
      <c r="Q16" s="17">
        <v>43291</v>
      </c>
      <c r="R16" s="17">
        <v>44793</v>
      </c>
      <c r="S16" s="17">
        <v>33736</v>
      </c>
      <c r="T16" s="17">
        <v>30025</v>
      </c>
      <c r="U16" s="17">
        <v>45334</v>
      </c>
      <c r="V16" s="17">
        <v>36364</v>
      </c>
      <c r="W16" s="17">
        <v>30917</v>
      </c>
      <c r="X16" s="17">
        <v>30309</v>
      </c>
      <c r="Y16" s="17">
        <v>39552</v>
      </c>
      <c r="Z16" s="17">
        <v>33073</v>
      </c>
      <c r="AA16" s="17">
        <v>29558</v>
      </c>
      <c r="AB16" s="17">
        <v>21919</v>
      </c>
      <c r="AC16" s="17">
        <v>33375</v>
      </c>
      <c r="AD16" s="17">
        <v>30277</v>
      </c>
      <c r="AE16" s="17">
        <v>22818</v>
      </c>
      <c r="AF16" s="15"/>
    </row>
    <row r="17" spans="1:36" x14ac:dyDescent="0.25">
      <c r="A17" s="18" t="s">
        <v>23</v>
      </c>
      <c r="B17" s="167">
        <v>22329</v>
      </c>
      <c r="C17" s="19">
        <v>17614</v>
      </c>
      <c r="D17" s="19">
        <v>12961</v>
      </c>
      <c r="E17" s="19">
        <v>8589</v>
      </c>
      <c r="F17" s="19">
        <v>4268</v>
      </c>
      <c r="G17" s="19">
        <v>35799</v>
      </c>
      <c r="H17" s="19">
        <v>30359</v>
      </c>
      <c r="I17" s="19">
        <v>24201</v>
      </c>
      <c r="J17" s="19">
        <v>20086</v>
      </c>
      <c r="K17" s="19">
        <v>16035</v>
      </c>
      <c r="L17" s="19">
        <v>11858</v>
      </c>
      <c r="M17" s="19">
        <v>7821</v>
      </c>
      <c r="N17" s="19">
        <v>3887</v>
      </c>
      <c r="O17" s="19">
        <v>15514</v>
      </c>
      <c r="P17" s="19">
        <v>11334</v>
      </c>
      <c r="Q17" s="19">
        <v>7435</v>
      </c>
      <c r="R17" s="19">
        <v>3767</v>
      </c>
      <c r="S17" s="19">
        <v>15363</v>
      </c>
      <c r="T17" s="19">
        <v>10715</v>
      </c>
      <c r="U17" s="19">
        <v>7197</v>
      </c>
      <c r="V17" s="19">
        <v>4082</v>
      </c>
      <c r="W17" s="19">
        <v>13961</v>
      </c>
      <c r="X17" s="19">
        <v>10450</v>
      </c>
      <c r="Y17" s="19">
        <v>7008</v>
      </c>
      <c r="Z17" s="19">
        <v>4293</v>
      </c>
      <c r="AA17" s="19">
        <v>12507</v>
      </c>
      <c r="AB17" s="19">
        <v>9314</v>
      </c>
      <c r="AC17" s="19">
        <v>6111</v>
      </c>
      <c r="AD17" s="19">
        <v>3043</v>
      </c>
      <c r="AE17" s="19">
        <v>12086</v>
      </c>
      <c r="AF17" s="15"/>
    </row>
    <row r="18" spans="1:36" x14ac:dyDescent="0.25">
      <c r="A18" s="16" t="s">
        <v>24</v>
      </c>
      <c r="B18" s="166">
        <v>22239</v>
      </c>
      <c r="C18" s="17">
        <v>24698</v>
      </c>
      <c r="D18" s="17">
        <v>38936</v>
      </c>
      <c r="E18" s="17">
        <v>15452</v>
      </c>
      <c r="F18" s="17">
        <v>11742</v>
      </c>
      <c r="G18" s="17">
        <v>22452</v>
      </c>
      <c r="H18" s="17">
        <v>17018</v>
      </c>
      <c r="I18" s="17">
        <v>22290</v>
      </c>
      <c r="J18" s="17">
        <v>19625</v>
      </c>
      <c r="K18" s="17">
        <v>17006</v>
      </c>
      <c r="L18" s="17">
        <v>20694</v>
      </c>
      <c r="M18" s="17">
        <v>27823</v>
      </c>
      <c r="N18" s="17">
        <v>27371</v>
      </c>
      <c r="O18" s="17">
        <v>35652</v>
      </c>
      <c r="P18" s="17">
        <v>35113</v>
      </c>
      <c r="Q18" s="17">
        <v>35541</v>
      </c>
      <c r="R18" s="17">
        <v>10164</v>
      </c>
      <c r="S18" s="17">
        <v>8222</v>
      </c>
      <c r="T18" s="17">
        <v>9699</v>
      </c>
      <c r="U18" s="17">
        <v>8623</v>
      </c>
      <c r="V18" s="17">
        <v>1659</v>
      </c>
      <c r="W18" s="17">
        <v>402</v>
      </c>
      <c r="X18" s="17">
        <v>414</v>
      </c>
      <c r="Y18" s="17">
        <v>392</v>
      </c>
      <c r="Z18" s="17">
        <v>685</v>
      </c>
      <c r="AA18" s="17">
        <v>4433</v>
      </c>
      <c r="AB18" s="17">
        <v>4390</v>
      </c>
      <c r="AC18" s="17">
        <v>4236</v>
      </c>
      <c r="AD18" s="17">
        <v>3830</v>
      </c>
      <c r="AE18" s="17">
        <v>3843</v>
      </c>
      <c r="AF18" s="15"/>
    </row>
    <row r="19" spans="1:36" x14ac:dyDescent="0.25">
      <c r="A19" s="18" t="s">
        <v>25</v>
      </c>
      <c r="B19" s="167">
        <v>0</v>
      </c>
      <c r="C19" s="19">
        <v>0</v>
      </c>
      <c r="D19" s="19">
        <v>0</v>
      </c>
      <c r="E19" s="19">
        <v>0</v>
      </c>
      <c r="F19" s="19" t="s">
        <v>17</v>
      </c>
      <c r="G19" s="19" t="s">
        <v>17</v>
      </c>
      <c r="H19" s="19" t="s">
        <v>17</v>
      </c>
      <c r="I19" s="19" t="s">
        <v>17</v>
      </c>
      <c r="J19" s="19" t="s">
        <v>17</v>
      </c>
      <c r="K19" s="19" t="s">
        <v>17</v>
      </c>
      <c r="L19" s="19" t="s">
        <v>17</v>
      </c>
      <c r="M19" s="19" t="s">
        <v>17</v>
      </c>
      <c r="N19" s="19" t="s">
        <v>17</v>
      </c>
      <c r="O19" s="19">
        <v>0</v>
      </c>
      <c r="P19" s="19">
        <v>0</v>
      </c>
      <c r="Q19" s="19">
        <v>0</v>
      </c>
      <c r="R19" s="19">
        <v>3</v>
      </c>
      <c r="S19" s="19">
        <v>3</v>
      </c>
      <c r="T19" s="19">
        <v>3</v>
      </c>
      <c r="U19" s="19">
        <v>115</v>
      </c>
      <c r="V19" s="19" t="s">
        <v>17</v>
      </c>
      <c r="W19" s="19" t="s">
        <v>17</v>
      </c>
      <c r="X19" s="19" t="s">
        <v>17</v>
      </c>
      <c r="Y19" s="19"/>
      <c r="Z19" s="19"/>
      <c r="AA19" s="19"/>
      <c r="AB19" s="19" t="s">
        <v>17</v>
      </c>
      <c r="AC19" s="19"/>
      <c r="AD19" s="19"/>
      <c r="AE19" s="19"/>
      <c r="AF19" s="15"/>
    </row>
    <row r="20" spans="1:36" x14ac:dyDescent="0.25">
      <c r="A20" s="20" t="s">
        <v>26</v>
      </c>
      <c r="B20" s="168">
        <f t="shared" ref="B20" si="13">SUM(B21:B34)</f>
        <v>7874532</v>
      </c>
      <c r="C20" s="21">
        <f t="shared" ref="C20:E20" si="14">SUM(C21:C34)</f>
        <v>7739811</v>
      </c>
      <c r="D20" s="21">
        <f t="shared" si="14"/>
        <v>7634296</v>
      </c>
      <c r="E20" s="21">
        <f t="shared" si="14"/>
        <v>7357637</v>
      </c>
      <c r="F20" s="21">
        <f t="shared" ref="F20:G20" si="15">SUM(F21:F34)</f>
        <v>7149277</v>
      </c>
      <c r="G20" s="21">
        <f t="shared" si="15"/>
        <v>6928348</v>
      </c>
      <c r="H20" s="21">
        <f t="shared" ref="H20:I20" si="16">SUM(H21:H34)</f>
        <v>6819587</v>
      </c>
      <c r="I20" s="21">
        <f t="shared" si="16"/>
        <v>6687475</v>
      </c>
      <c r="J20" s="21">
        <f t="shared" ref="J20:K20" si="17">SUM(J21:J34)</f>
        <v>6643787</v>
      </c>
      <c r="K20" s="21">
        <f t="shared" si="17"/>
        <v>6544991</v>
      </c>
      <c r="L20" s="21">
        <f t="shared" ref="L20:M20" si="18">SUM(L21:L34)</f>
        <v>6372865</v>
      </c>
      <c r="M20" s="21">
        <f t="shared" si="18"/>
        <v>6145323</v>
      </c>
      <c r="N20" s="21">
        <f t="shared" ref="N20:AB20" si="19">SUM(N21:N34)</f>
        <v>6015911</v>
      </c>
      <c r="O20" s="21">
        <f t="shared" si="19"/>
        <v>5883132</v>
      </c>
      <c r="P20" s="21">
        <f t="shared" si="19"/>
        <v>5794411</v>
      </c>
      <c r="Q20" s="21">
        <f t="shared" si="19"/>
        <v>5642552</v>
      </c>
      <c r="R20" s="21">
        <f t="shared" si="19"/>
        <v>5463716</v>
      </c>
      <c r="S20" s="21">
        <f t="shared" si="19"/>
        <v>5309618</v>
      </c>
      <c r="T20" s="21">
        <f t="shared" ref="T20" si="20">SUM(T21:T34)</f>
        <v>5237876</v>
      </c>
      <c r="U20" s="21">
        <f t="shared" si="19"/>
        <v>5158489</v>
      </c>
      <c r="V20" s="21">
        <f t="shared" si="19"/>
        <v>5094249</v>
      </c>
      <c r="W20" s="21">
        <f t="shared" si="19"/>
        <v>5050066</v>
      </c>
      <c r="X20" s="21">
        <f t="shared" si="19"/>
        <v>5010220</v>
      </c>
      <c r="Y20" s="21">
        <f t="shared" si="19"/>
        <v>5031941</v>
      </c>
      <c r="Z20" s="21">
        <f t="shared" si="19"/>
        <v>4963196</v>
      </c>
      <c r="AA20" s="21">
        <f t="shared" si="19"/>
        <v>4910873</v>
      </c>
      <c r="AB20" s="21">
        <f t="shared" si="19"/>
        <v>4777603</v>
      </c>
      <c r="AC20" s="21">
        <f t="shared" ref="AC20:AE20" si="21">SUM(AC21:AC34)</f>
        <v>4532057</v>
      </c>
      <c r="AD20" s="21">
        <f t="shared" si="21"/>
        <v>4552969</v>
      </c>
      <c r="AE20" s="21">
        <f t="shared" si="21"/>
        <v>4441048</v>
      </c>
      <c r="AF20" s="15"/>
    </row>
    <row r="21" spans="1:36" x14ac:dyDescent="0.25">
      <c r="A21" s="133" t="s">
        <v>18</v>
      </c>
      <c r="B21" s="166">
        <v>9164</v>
      </c>
      <c r="C21" s="134">
        <v>8965</v>
      </c>
      <c r="D21" s="134">
        <v>8686</v>
      </c>
      <c r="E21" s="134">
        <v>8478</v>
      </c>
      <c r="F21" s="134">
        <v>8197</v>
      </c>
      <c r="G21" s="134">
        <v>8012</v>
      </c>
      <c r="H21" s="134">
        <v>7797</v>
      </c>
      <c r="I21" s="134">
        <v>7661</v>
      </c>
      <c r="J21" s="134">
        <v>21500</v>
      </c>
      <c r="K21" s="134">
        <v>7367</v>
      </c>
      <c r="L21" s="134">
        <v>7197</v>
      </c>
      <c r="M21" s="134">
        <v>7071</v>
      </c>
      <c r="N21" s="134">
        <v>6870</v>
      </c>
      <c r="O21" s="134">
        <v>6730</v>
      </c>
      <c r="P21" s="134">
        <v>13798</v>
      </c>
      <c r="Q21" s="134">
        <v>13509</v>
      </c>
      <c r="R21" s="134">
        <v>13092</v>
      </c>
      <c r="S21" s="134">
        <v>12892</v>
      </c>
      <c r="T21" s="134">
        <v>11567</v>
      </c>
      <c r="U21" s="134">
        <v>11851</v>
      </c>
      <c r="V21" s="134">
        <v>14186</v>
      </c>
      <c r="W21" s="134">
        <v>14120</v>
      </c>
      <c r="X21" s="134">
        <v>13146</v>
      </c>
      <c r="Y21" s="134">
        <v>15734</v>
      </c>
      <c r="Z21" s="134">
        <v>15889</v>
      </c>
      <c r="AA21" s="134">
        <v>14949</v>
      </c>
      <c r="AB21" s="134">
        <v>14824</v>
      </c>
      <c r="AC21" s="134">
        <v>14713</v>
      </c>
      <c r="AD21" s="134">
        <v>14521</v>
      </c>
      <c r="AE21" s="134">
        <v>14403</v>
      </c>
      <c r="AF21" s="15"/>
    </row>
    <row r="22" spans="1:36" x14ac:dyDescent="0.25">
      <c r="A22" s="135" t="s">
        <v>19</v>
      </c>
      <c r="B22" s="169">
        <v>61840</v>
      </c>
      <c r="C22" s="136">
        <v>62239</v>
      </c>
      <c r="D22" s="136">
        <v>65178</v>
      </c>
      <c r="E22" s="136">
        <v>61191</v>
      </c>
      <c r="F22" s="136">
        <v>55037</v>
      </c>
      <c r="G22" s="136">
        <v>57218</v>
      </c>
      <c r="H22" s="136">
        <v>58970</v>
      </c>
      <c r="I22" s="136">
        <v>54488</v>
      </c>
      <c r="J22" s="136">
        <v>38860</v>
      </c>
      <c r="K22" s="136">
        <v>37745</v>
      </c>
      <c r="L22" s="136">
        <v>37000</v>
      </c>
      <c r="M22" s="136">
        <v>31642</v>
      </c>
      <c r="N22" s="136">
        <v>30161</v>
      </c>
      <c r="O22" s="136">
        <v>31119</v>
      </c>
      <c r="P22" s="136">
        <v>30699</v>
      </c>
      <c r="Q22" s="136">
        <v>29873</v>
      </c>
      <c r="R22" s="136">
        <v>28877</v>
      </c>
      <c r="S22" s="136">
        <v>29622</v>
      </c>
      <c r="T22" s="136">
        <v>29177</v>
      </c>
      <c r="U22" s="136">
        <v>25412</v>
      </c>
      <c r="V22" s="136">
        <v>27191</v>
      </c>
      <c r="W22" s="136">
        <v>20992</v>
      </c>
      <c r="X22" s="136">
        <v>18674</v>
      </c>
      <c r="Y22" s="136">
        <v>16632</v>
      </c>
      <c r="Z22" s="136">
        <v>17680</v>
      </c>
      <c r="AA22" s="136">
        <v>18208</v>
      </c>
      <c r="AB22" s="136">
        <v>17794</v>
      </c>
      <c r="AC22" s="136">
        <v>8740</v>
      </c>
      <c r="AD22" s="136">
        <v>9087</v>
      </c>
      <c r="AE22" s="136">
        <v>9180</v>
      </c>
      <c r="AF22" s="24"/>
      <c r="AG22"/>
      <c r="AH22"/>
      <c r="AI22"/>
      <c r="AJ22"/>
    </row>
    <row r="23" spans="1:36" x14ac:dyDescent="0.25">
      <c r="A23" s="133" t="s">
        <v>251</v>
      </c>
      <c r="B23" s="166">
        <v>0</v>
      </c>
      <c r="C23" s="134">
        <v>0</v>
      </c>
      <c r="D23" s="134">
        <v>0</v>
      </c>
      <c r="E23" s="134">
        <v>0</v>
      </c>
      <c r="F23" s="134">
        <v>0</v>
      </c>
      <c r="G23" s="134">
        <v>0</v>
      </c>
      <c r="H23" s="134">
        <v>0</v>
      </c>
      <c r="I23" s="134">
        <v>116</v>
      </c>
      <c r="J23" s="134">
        <v>6999</v>
      </c>
      <c r="K23" s="134">
        <v>7761</v>
      </c>
      <c r="L23" s="134">
        <v>8540</v>
      </c>
      <c r="M23" s="134">
        <v>9199</v>
      </c>
      <c r="N23" s="134">
        <v>10041</v>
      </c>
      <c r="O23" s="134">
        <v>9630</v>
      </c>
      <c r="P23" s="134">
        <v>7697</v>
      </c>
      <c r="Q23" s="134">
        <v>3074</v>
      </c>
      <c r="R23" s="134" t="s">
        <v>17</v>
      </c>
      <c r="S23" s="134" t="s">
        <v>17</v>
      </c>
      <c r="T23" s="134" t="s">
        <v>17</v>
      </c>
      <c r="U23" s="134" t="s">
        <v>17</v>
      </c>
      <c r="V23" s="134" t="s">
        <v>17</v>
      </c>
      <c r="W23" s="134" t="s">
        <v>17</v>
      </c>
      <c r="X23" s="134" t="s">
        <v>17</v>
      </c>
      <c r="Y23" s="134"/>
      <c r="Z23" s="134"/>
      <c r="AA23" s="134"/>
      <c r="AB23" s="134" t="s">
        <v>17</v>
      </c>
      <c r="AC23" s="134"/>
      <c r="AD23" s="134"/>
      <c r="AE23" s="134"/>
      <c r="AF23" s="15"/>
    </row>
    <row r="24" spans="1:36" x14ac:dyDescent="0.25">
      <c r="A24" s="137" t="s">
        <v>27</v>
      </c>
      <c r="B24" s="167">
        <v>13439</v>
      </c>
      <c r="C24" s="138">
        <v>13559</v>
      </c>
      <c r="D24" s="138">
        <v>13371</v>
      </c>
      <c r="E24" s="138">
        <v>13967</v>
      </c>
      <c r="F24" s="138">
        <v>13435</v>
      </c>
      <c r="G24" s="138">
        <v>13092</v>
      </c>
      <c r="H24" s="138">
        <v>9915</v>
      </c>
      <c r="I24" s="138">
        <v>9476</v>
      </c>
      <c r="J24" s="138">
        <v>9673</v>
      </c>
      <c r="K24" s="138">
        <v>14641</v>
      </c>
      <c r="L24" s="138">
        <v>14576</v>
      </c>
      <c r="M24" s="138">
        <v>15597</v>
      </c>
      <c r="N24" s="138">
        <v>15488</v>
      </c>
      <c r="O24" s="138">
        <v>15659</v>
      </c>
      <c r="P24" s="138">
        <v>14905</v>
      </c>
      <c r="Q24" s="138">
        <v>19471</v>
      </c>
      <c r="R24" s="138">
        <v>20065</v>
      </c>
      <c r="S24" s="138">
        <v>21025</v>
      </c>
      <c r="T24" s="138">
        <v>18491</v>
      </c>
      <c r="U24" s="138">
        <v>22278</v>
      </c>
      <c r="V24" s="138">
        <v>22199</v>
      </c>
      <c r="W24" s="138">
        <v>21108</v>
      </c>
      <c r="X24" s="138">
        <v>16069</v>
      </c>
      <c r="Y24" s="138">
        <v>9772</v>
      </c>
      <c r="Z24" s="138">
        <v>9687</v>
      </c>
      <c r="AA24" s="138">
        <v>9677</v>
      </c>
      <c r="AB24" s="138">
        <v>9384</v>
      </c>
      <c r="AC24" s="138">
        <v>9695</v>
      </c>
      <c r="AD24" s="138">
        <v>54401</v>
      </c>
      <c r="AE24" s="138">
        <v>10072</v>
      </c>
      <c r="AF24" s="15"/>
    </row>
    <row r="25" spans="1:36" x14ac:dyDescent="0.25">
      <c r="A25" s="133" t="s">
        <v>28</v>
      </c>
      <c r="B25" s="166">
        <v>252631</v>
      </c>
      <c r="C25" s="134">
        <v>255681</v>
      </c>
      <c r="D25" s="134">
        <v>258730</v>
      </c>
      <c r="E25" s="134">
        <v>269340</v>
      </c>
      <c r="F25" s="134">
        <v>272472</v>
      </c>
      <c r="G25" s="134">
        <v>275604</v>
      </c>
      <c r="H25" s="134">
        <v>278733</v>
      </c>
      <c r="I25" s="134">
        <v>281864</v>
      </c>
      <c r="J25" s="134">
        <v>284995</v>
      </c>
      <c r="K25" s="134">
        <v>288098</v>
      </c>
      <c r="L25" s="134">
        <v>269211</v>
      </c>
      <c r="M25" s="134">
        <v>235669</v>
      </c>
      <c r="N25" s="134">
        <v>238153</v>
      </c>
      <c r="O25" s="134">
        <v>240638</v>
      </c>
      <c r="P25" s="134">
        <v>243123</v>
      </c>
      <c r="Q25" s="134">
        <v>237247</v>
      </c>
      <c r="R25" s="134">
        <v>235728</v>
      </c>
      <c r="S25" s="134">
        <v>184180</v>
      </c>
      <c r="T25" s="134">
        <v>185905</v>
      </c>
      <c r="U25" s="134">
        <v>187629</v>
      </c>
      <c r="V25" s="134">
        <v>189353</v>
      </c>
      <c r="W25" s="134">
        <v>191078</v>
      </c>
      <c r="X25" s="134">
        <v>192803</v>
      </c>
      <c r="Y25" s="134">
        <v>194527</v>
      </c>
      <c r="Z25" s="134">
        <v>196252</v>
      </c>
      <c r="AA25" s="134">
        <v>198078</v>
      </c>
      <c r="AB25" s="134">
        <v>142214</v>
      </c>
      <c r="AC25" s="134">
        <v>19109</v>
      </c>
      <c r="AD25" s="134">
        <v>19278</v>
      </c>
      <c r="AE25" s="134">
        <v>19447</v>
      </c>
      <c r="AF25" s="15"/>
    </row>
    <row r="26" spans="1:36" x14ac:dyDescent="0.25">
      <c r="A26" s="137" t="s">
        <v>29</v>
      </c>
      <c r="B26" s="167">
        <v>1670656</v>
      </c>
      <c r="C26" s="138">
        <v>1682481</v>
      </c>
      <c r="D26" s="138">
        <v>1696127</v>
      </c>
      <c r="E26" s="138">
        <v>1671475</v>
      </c>
      <c r="F26" s="138">
        <v>1676062</v>
      </c>
      <c r="G26" s="138">
        <v>1685276</v>
      </c>
      <c r="H26" s="138">
        <v>1696384</v>
      </c>
      <c r="I26" s="138">
        <v>1678942</v>
      </c>
      <c r="J26" s="138">
        <v>1671665</v>
      </c>
      <c r="K26" s="138">
        <v>1661135</v>
      </c>
      <c r="L26" s="138">
        <v>1651682</v>
      </c>
      <c r="M26" s="138">
        <v>1603151</v>
      </c>
      <c r="N26" s="138">
        <v>1544306</v>
      </c>
      <c r="O26" s="138">
        <v>1479533</v>
      </c>
      <c r="P26" s="138">
        <v>1425231</v>
      </c>
      <c r="Q26" s="138">
        <v>1345686</v>
      </c>
      <c r="R26" s="138">
        <v>1255830</v>
      </c>
      <c r="S26" s="138">
        <v>1176404</v>
      </c>
      <c r="T26" s="138">
        <v>1111322</v>
      </c>
      <c r="U26" s="138">
        <v>1002737</v>
      </c>
      <c r="V26" s="138">
        <v>917073</v>
      </c>
      <c r="W26" s="138">
        <v>866656</v>
      </c>
      <c r="X26" s="138">
        <v>839500</v>
      </c>
      <c r="Y26" s="138">
        <v>773502</v>
      </c>
      <c r="Z26" s="138">
        <v>737415</v>
      </c>
      <c r="AA26" s="138">
        <v>704365</v>
      </c>
      <c r="AB26" s="138">
        <v>677280</v>
      </c>
      <c r="AC26" s="138">
        <v>626819</v>
      </c>
      <c r="AD26" s="138">
        <v>579785</v>
      </c>
      <c r="AE26" s="138">
        <v>531950</v>
      </c>
      <c r="AF26" s="15"/>
    </row>
    <row r="27" spans="1:36" x14ac:dyDescent="0.25">
      <c r="A27" s="133" t="s">
        <v>24</v>
      </c>
      <c r="B27" s="166">
        <v>2393</v>
      </c>
      <c r="C27" s="134">
        <v>2393</v>
      </c>
      <c r="D27" s="134">
        <v>2512</v>
      </c>
      <c r="E27" s="134">
        <v>12830</v>
      </c>
      <c r="F27" s="134">
        <v>7317</v>
      </c>
      <c r="G27" s="134">
        <v>18581</v>
      </c>
      <c r="H27" s="134">
        <v>15508</v>
      </c>
      <c r="I27" s="134">
        <v>9757</v>
      </c>
      <c r="J27" s="134">
        <v>3173</v>
      </c>
      <c r="K27" s="134">
        <v>3275</v>
      </c>
      <c r="L27" s="134">
        <v>3398</v>
      </c>
      <c r="M27" s="134">
        <v>2393</v>
      </c>
      <c r="N27" s="134">
        <v>2393</v>
      </c>
      <c r="O27" s="134">
        <v>0</v>
      </c>
      <c r="P27" s="134" t="s">
        <v>17</v>
      </c>
      <c r="Q27" s="134">
        <v>8</v>
      </c>
      <c r="R27" s="134">
        <v>19</v>
      </c>
      <c r="S27" s="134">
        <v>30</v>
      </c>
      <c r="T27" s="134">
        <v>42</v>
      </c>
      <c r="U27" s="134" t="s">
        <v>17</v>
      </c>
      <c r="V27" s="134" t="s">
        <v>17</v>
      </c>
      <c r="W27" s="134" t="s">
        <v>17</v>
      </c>
      <c r="X27" s="134" t="s">
        <v>17</v>
      </c>
      <c r="Y27" s="134"/>
      <c r="Z27" s="134"/>
      <c r="AA27" s="134"/>
      <c r="AB27" s="134" t="s">
        <v>17</v>
      </c>
      <c r="AC27" s="134"/>
      <c r="AD27" s="134">
        <v>10030</v>
      </c>
      <c r="AE27" s="134">
        <v>40</v>
      </c>
      <c r="AF27" s="15"/>
    </row>
    <row r="28" spans="1:36" s="122" customFormat="1" x14ac:dyDescent="0.25">
      <c r="A28" s="135" t="s">
        <v>252</v>
      </c>
      <c r="B28" s="169">
        <v>0</v>
      </c>
      <c r="C28" s="136">
        <v>0</v>
      </c>
      <c r="D28" s="136">
        <v>0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4453</v>
      </c>
      <c r="L28" s="136">
        <v>4940</v>
      </c>
      <c r="M28" s="136">
        <v>530</v>
      </c>
      <c r="N28" s="136">
        <v>0</v>
      </c>
      <c r="O28" s="136">
        <v>0</v>
      </c>
      <c r="P28" s="136">
        <v>9255</v>
      </c>
      <c r="Q28" s="136">
        <v>16574</v>
      </c>
      <c r="R28" s="136">
        <v>24146</v>
      </c>
      <c r="S28" s="136">
        <v>32919</v>
      </c>
      <c r="T28" s="136">
        <v>42464</v>
      </c>
      <c r="U28" s="136">
        <v>84749</v>
      </c>
      <c r="V28" s="136">
        <v>108211</v>
      </c>
      <c r="W28" s="136">
        <v>128191</v>
      </c>
      <c r="X28" s="136">
        <v>115401</v>
      </c>
      <c r="Y28" s="136">
        <v>231964</v>
      </c>
      <c r="Z28" s="136">
        <v>245300</v>
      </c>
      <c r="AA28" s="136">
        <v>258535</v>
      </c>
      <c r="AB28" s="136">
        <v>215540</v>
      </c>
      <c r="AC28" s="136">
        <v>248880</v>
      </c>
      <c r="AD28" s="136">
        <v>272520</v>
      </c>
      <c r="AE28" s="136">
        <v>233532</v>
      </c>
      <c r="AF28" s="121"/>
    </row>
    <row r="29" spans="1:36" x14ac:dyDescent="0.25">
      <c r="A29" s="133" t="s">
        <v>30</v>
      </c>
      <c r="B29" s="166">
        <v>0</v>
      </c>
      <c r="C29" s="134">
        <v>0</v>
      </c>
      <c r="D29" s="134">
        <v>0</v>
      </c>
      <c r="E29" s="134">
        <v>0</v>
      </c>
      <c r="F29" s="134">
        <v>0</v>
      </c>
      <c r="G29" s="134">
        <v>0</v>
      </c>
      <c r="H29" s="134">
        <v>0</v>
      </c>
      <c r="I29" s="134">
        <v>0</v>
      </c>
      <c r="J29" s="134">
        <v>0</v>
      </c>
      <c r="K29" s="134">
        <v>0</v>
      </c>
      <c r="L29" s="134">
        <v>0</v>
      </c>
      <c r="M29" s="134">
        <v>0</v>
      </c>
      <c r="N29" s="134" t="s">
        <v>17</v>
      </c>
      <c r="O29" s="134">
        <v>0</v>
      </c>
      <c r="P29" s="134" t="s">
        <v>17</v>
      </c>
      <c r="Q29" s="134">
        <v>0</v>
      </c>
      <c r="R29" s="134">
        <v>0</v>
      </c>
      <c r="S29" s="134">
        <v>9</v>
      </c>
      <c r="T29" s="134">
        <v>9</v>
      </c>
      <c r="U29" s="134">
        <v>9</v>
      </c>
      <c r="V29" s="134">
        <v>9</v>
      </c>
      <c r="W29" s="134">
        <v>9</v>
      </c>
      <c r="X29" s="134">
        <v>9</v>
      </c>
      <c r="Y29" s="134">
        <v>9</v>
      </c>
      <c r="Z29" s="134">
        <v>9</v>
      </c>
      <c r="AA29" s="134">
        <v>9</v>
      </c>
      <c r="AB29" s="134">
        <v>9</v>
      </c>
      <c r="AC29" s="134">
        <v>9</v>
      </c>
      <c r="AD29" s="134">
        <v>9</v>
      </c>
      <c r="AE29" s="134">
        <v>9</v>
      </c>
      <c r="AF29" s="15"/>
    </row>
    <row r="30" spans="1:36" x14ac:dyDescent="0.25">
      <c r="A30" s="137" t="s">
        <v>31</v>
      </c>
      <c r="B30" s="167">
        <v>572970</v>
      </c>
      <c r="C30" s="138">
        <v>580825</v>
      </c>
      <c r="D30" s="138">
        <v>546989</v>
      </c>
      <c r="E30" s="138">
        <v>465028</v>
      </c>
      <c r="F30" s="138">
        <v>433139</v>
      </c>
      <c r="G30" s="138">
        <v>326062</v>
      </c>
      <c r="H30" s="138">
        <v>323003</v>
      </c>
      <c r="I30" s="138">
        <v>314584</v>
      </c>
      <c r="J30" s="138">
        <v>403620</v>
      </c>
      <c r="K30" s="138">
        <v>412604</v>
      </c>
      <c r="L30" s="138">
        <v>420962</v>
      </c>
      <c r="M30" s="138">
        <v>429463</v>
      </c>
      <c r="N30" s="138">
        <v>430138</v>
      </c>
      <c r="O30" s="138">
        <v>416153</v>
      </c>
      <c r="P30" s="138">
        <v>385855</v>
      </c>
      <c r="Q30" s="138">
        <v>398232</v>
      </c>
      <c r="R30" s="138">
        <v>351357</v>
      </c>
      <c r="S30" s="138">
        <v>360568</v>
      </c>
      <c r="T30" s="138">
        <v>350160</v>
      </c>
      <c r="U30" s="138">
        <v>348998</v>
      </c>
      <c r="V30" s="138">
        <v>352758</v>
      </c>
      <c r="W30" s="138">
        <v>355674</v>
      </c>
      <c r="X30" s="138">
        <v>360583</v>
      </c>
      <c r="Y30" s="138">
        <v>363369</v>
      </c>
      <c r="Z30" s="138">
        <v>363993</v>
      </c>
      <c r="AA30" s="138">
        <v>367600</v>
      </c>
      <c r="AB30" s="138">
        <v>372614</v>
      </c>
      <c r="AC30" s="138">
        <v>321125</v>
      </c>
      <c r="AD30" s="138">
        <v>325262</v>
      </c>
      <c r="AE30" s="138">
        <v>315630</v>
      </c>
      <c r="AF30" s="15"/>
    </row>
    <row r="31" spans="1:36" x14ac:dyDescent="0.25">
      <c r="A31" s="133" t="s">
        <v>32</v>
      </c>
      <c r="B31" s="166">
        <v>0</v>
      </c>
      <c r="C31" s="134">
        <v>0</v>
      </c>
      <c r="D31" s="134">
        <v>0</v>
      </c>
      <c r="E31" s="134">
        <v>0</v>
      </c>
      <c r="F31" s="134" t="s">
        <v>17</v>
      </c>
      <c r="G31" s="134" t="s">
        <v>17</v>
      </c>
      <c r="H31" s="134" t="s">
        <v>17</v>
      </c>
      <c r="I31" s="134" t="s">
        <v>17</v>
      </c>
      <c r="J31" s="134" t="s">
        <v>17</v>
      </c>
      <c r="K31" s="134" t="s">
        <v>17</v>
      </c>
      <c r="L31" s="134" t="s">
        <v>17</v>
      </c>
      <c r="M31" s="134" t="s">
        <v>17</v>
      </c>
      <c r="N31" s="134" t="s">
        <v>17</v>
      </c>
      <c r="O31" s="134">
        <v>0</v>
      </c>
      <c r="P31" s="134" t="s">
        <v>17</v>
      </c>
      <c r="Q31" s="134" t="s">
        <v>17</v>
      </c>
      <c r="R31" s="134" t="s">
        <v>17</v>
      </c>
      <c r="S31" s="134" t="s">
        <v>17</v>
      </c>
      <c r="T31" s="134" t="s">
        <v>17</v>
      </c>
      <c r="U31" s="134" t="s">
        <v>17</v>
      </c>
      <c r="V31" s="134"/>
      <c r="W31" s="134" t="s">
        <v>17</v>
      </c>
      <c r="X31" s="134" t="s">
        <v>17</v>
      </c>
      <c r="Y31" s="134"/>
      <c r="Z31" s="134"/>
      <c r="AA31" s="134"/>
      <c r="AB31" s="134" t="s">
        <v>17</v>
      </c>
      <c r="AC31" s="134">
        <v>50418</v>
      </c>
      <c r="AD31" s="134">
        <v>57199</v>
      </c>
      <c r="AE31" s="134">
        <v>58075</v>
      </c>
      <c r="AF31" s="15"/>
    </row>
    <row r="32" spans="1:36" x14ac:dyDescent="0.25">
      <c r="A32" s="18" t="s">
        <v>33</v>
      </c>
      <c r="B32" s="167">
        <v>1237900</v>
      </c>
      <c r="C32" s="19">
        <v>1129684</v>
      </c>
      <c r="D32" s="19">
        <v>1087619</v>
      </c>
      <c r="E32" s="19">
        <v>1042130</v>
      </c>
      <c r="F32" s="19">
        <v>1120840</v>
      </c>
      <c r="G32" s="19">
        <v>1055574</v>
      </c>
      <c r="H32" s="19">
        <v>973904</v>
      </c>
      <c r="I32" s="19">
        <v>949345</v>
      </c>
      <c r="J32" s="19">
        <v>911442</v>
      </c>
      <c r="K32" s="19">
        <v>885106</v>
      </c>
      <c r="L32" s="19">
        <v>833280</v>
      </c>
      <c r="M32" s="19">
        <v>722130</v>
      </c>
      <c r="N32" s="19">
        <v>738419</v>
      </c>
      <c r="O32" s="19">
        <v>771743</v>
      </c>
      <c r="P32" s="19">
        <v>759437</v>
      </c>
      <c r="Q32" s="19">
        <v>740808</v>
      </c>
      <c r="R32" s="19">
        <v>675173</v>
      </c>
      <c r="S32" s="19">
        <v>673517</v>
      </c>
      <c r="T32" s="19">
        <v>680900</v>
      </c>
      <c r="U32" s="19">
        <v>696395</v>
      </c>
      <c r="V32" s="19">
        <v>735447</v>
      </c>
      <c r="W32" s="19">
        <v>737433</v>
      </c>
      <c r="X32" s="19">
        <v>730152</v>
      </c>
      <c r="Y32" s="19">
        <v>703574</v>
      </c>
      <c r="Z32" s="19">
        <v>659916</v>
      </c>
      <c r="AA32" s="19">
        <v>629170</v>
      </c>
      <c r="AB32" s="19">
        <v>630542</v>
      </c>
      <c r="AC32" s="19">
        <v>618548</v>
      </c>
      <c r="AD32" s="19"/>
      <c r="AE32" s="19">
        <v>586857</v>
      </c>
      <c r="AF32" s="15"/>
    </row>
    <row r="33" spans="1:32" x14ac:dyDescent="0.25">
      <c r="A33" s="16" t="s">
        <v>34</v>
      </c>
      <c r="B33" s="166">
        <v>19092</v>
      </c>
      <c r="C33" s="17">
        <v>19223</v>
      </c>
      <c r="D33" s="17">
        <v>15791</v>
      </c>
      <c r="E33" s="17">
        <v>20500</v>
      </c>
      <c r="F33" s="17">
        <v>20455</v>
      </c>
      <c r="G33" s="17">
        <v>15158</v>
      </c>
      <c r="H33" s="17">
        <v>15077</v>
      </c>
      <c r="I33" s="17">
        <v>15077</v>
      </c>
      <c r="J33" s="17">
        <v>15104</v>
      </c>
      <c r="K33" s="17">
        <v>22283</v>
      </c>
      <c r="L33" s="17">
        <v>6516</v>
      </c>
      <c r="M33" s="17">
        <v>6516</v>
      </c>
      <c r="N33" s="17">
        <v>6516</v>
      </c>
      <c r="O33" s="17">
        <v>6516</v>
      </c>
      <c r="P33" s="17">
        <v>25647</v>
      </c>
      <c r="Q33" s="17">
        <v>21920</v>
      </c>
      <c r="R33" s="17">
        <v>15852</v>
      </c>
      <c r="S33" s="17" t="s">
        <v>17</v>
      </c>
      <c r="T33" s="17" t="s">
        <v>17</v>
      </c>
      <c r="U33" s="17" t="s">
        <v>17</v>
      </c>
      <c r="V33" s="17" t="s">
        <v>17</v>
      </c>
      <c r="W33" s="17" t="s">
        <v>17</v>
      </c>
      <c r="X33" s="17" t="s">
        <v>17</v>
      </c>
      <c r="Y33" s="17"/>
      <c r="Z33" s="17"/>
      <c r="AA33" s="17"/>
      <c r="AB33" s="17" t="s">
        <v>17</v>
      </c>
      <c r="AC33" s="17"/>
      <c r="AD33" s="17"/>
      <c r="AE33" s="17"/>
      <c r="AF33" s="15"/>
    </row>
    <row r="34" spans="1:32" s="1" customFormat="1" x14ac:dyDescent="0.25">
      <c r="A34" s="18" t="s">
        <v>35</v>
      </c>
      <c r="B34" s="167">
        <v>4034447</v>
      </c>
      <c r="C34" s="19">
        <v>3984761</v>
      </c>
      <c r="D34" s="19">
        <v>3939293</v>
      </c>
      <c r="E34" s="19">
        <v>3792698</v>
      </c>
      <c r="F34" s="19">
        <v>3542323</v>
      </c>
      <c r="G34" s="19">
        <v>3473771</v>
      </c>
      <c r="H34" s="19">
        <v>3440296</v>
      </c>
      <c r="I34" s="19">
        <v>3366165</v>
      </c>
      <c r="J34" s="19">
        <v>3276756</v>
      </c>
      <c r="K34" s="19">
        <v>3200523</v>
      </c>
      <c r="L34" s="19">
        <v>3115563</v>
      </c>
      <c r="M34" s="19">
        <v>3081962</v>
      </c>
      <c r="N34" s="19">
        <v>2993426</v>
      </c>
      <c r="O34" s="19">
        <v>2905411</v>
      </c>
      <c r="P34" s="19">
        <v>2878764</v>
      </c>
      <c r="Q34" s="19">
        <v>2816150</v>
      </c>
      <c r="R34" s="19">
        <v>2843577</v>
      </c>
      <c r="S34" s="19">
        <v>2818452</v>
      </c>
      <c r="T34" s="19">
        <v>2807839</v>
      </c>
      <c r="U34" s="19">
        <v>2778431</v>
      </c>
      <c r="V34" s="19">
        <v>2727822</v>
      </c>
      <c r="W34" s="19">
        <v>2714805</v>
      </c>
      <c r="X34" s="19">
        <v>2723883</v>
      </c>
      <c r="Y34" s="19">
        <v>2722858</v>
      </c>
      <c r="Z34" s="19">
        <v>2717055</v>
      </c>
      <c r="AA34" s="19">
        <v>2710282</v>
      </c>
      <c r="AB34" s="19">
        <v>2697402</v>
      </c>
      <c r="AC34" s="19">
        <v>2614001</v>
      </c>
      <c r="AD34" s="19">
        <v>3210877</v>
      </c>
      <c r="AE34" s="19">
        <v>2661853</v>
      </c>
      <c r="AF34" s="15"/>
    </row>
    <row r="35" spans="1:32" x14ac:dyDescent="0.25">
      <c r="A35" s="20" t="s">
        <v>36</v>
      </c>
      <c r="B35" s="168">
        <f t="shared" ref="B35" si="22">SUM(B20+B9)</f>
        <v>9743568</v>
      </c>
      <c r="C35" s="21">
        <f t="shared" ref="C35:E35" si="23">SUM(C20+C9)</f>
        <v>9755342</v>
      </c>
      <c r="D35" s="21">
        <f t="shared" si="23"/>
        <v>9428976</v>
      </c>
      <c r="E35" s="21">
        <f t="shared" si="23"/>
        <v>9216094</v>
      </c>
      <c r="F35" s="21">
        <f t="shared" ref="F35:G35" si="24">SUM(F20+F9)</f>
        <v>9034449</v>
      </c>
      <c r="G35" s="21">
        <f t="shared" si="24"/>
        <v>8591325</v>
      </c>
      <c r="H35" s="21">
        <f t="shared" ref="H35:I35" si="25">SUM(H20+H9)</f>
        <v>8574155</v>
      </c>
      <c r="I35" s="21">
        <f t="shared" si="25"/>
        <v>8499189</v>
      </c>
      <c r="J35" s="21">
        <f t="shared" ref="J35:K35" si="26">SUM(J20+J9)</f>
        <v>8063340</v>
      </c>
      <c r="K35" s="21">
        <f t="shared" si="26"/>
        <v>8102264</v>
      </c>
      <c r="L35" s="21">
        <f t="shared" ref="L35:M35" si="27">SUM(L20+L9)</f>
        <v>8036981</v>
      </c>
      <c r="M35" s="21">
        <f t="shared" si="27"/>
        <v>7866752</v>
      </c>
      <c r="N35" s="21">
        <f t="shared" ref="N35:AB35" si="28">SUM(N20+N9)</f>
        <v>7327543</v>
      </c>
      <c r="O35" s="21">
        <f t="shared" si="28"/>
        <v>7240739</v>
      </c>
      <c r="P35" s="21">
        <f t="shared" si="28"/>
        <v>7176346</v>
      </c>
      <c r="Q35" s="21">
        <f t="shared" si="28"/>
        <v>7032782</v>
      </c>
      <c r="R35" s="21">
        <f t="shared" si="28"/>
        <v>6574386</v>
      </c>
      <c r="S35" s="21">
        <f t="shared" si="28"/>
        <v>6392943</v>
      </c>
      <c r="T35" s="21">
        <f t="shared" ref="T35" si="29">SUM(T20+T9)</f>
        <v>6393803</v>
      </c>
      <c r="U35" s="21">
        <f t="shared" si="28"/>
        <v>6313354</v>
      </c>
      <c r="V35" s="21">
        <f t="shared" si="28"/>
        <v>5900725</v>
      </c>
      <c r="W35" s="21">
        <f t="shared" si="28"/>
        <v>5874230</v>
      </c>
      <c r="X35" s="21">
        <f t="shared" si="28"/>
        <v>5779038</v>
      </c>
      <c r="Y35" s="21">
        <f t="shared" si="28"/>
        <v>5832021</v>
      </c>
      <c r="Z35" s="21">
        <f t="shared" si="28"/>
        <v>5813819</v>
      </c>
      <c r="AA35" s="21">
        <f t="shared" si="28"/>
        <v>5540247</v>
      </c>
      <c r="AB35" s="21">
        <f t="shared" si="28"/>
        <v>5431664</v>
      </c>
      <c r="AC35" s="21">
        <f t="shared" ref="AC35:AE35" si="30">SUM(AC20+AC9)</f>
        <v>5169566</v>
      </c>
      <c r="AD35" s="21">
        <f t="shared" si="30"/>
        <v>5053599</v>
      </c>
      <c r="AE35" s="21">
        <f t="shared" si="30"/>
        <v>4943195</v>
      </c>
      <c r="AF35" s="15"/>
    </row>
    <row r="36" spans="1:32" x14ac:dyDescent="0.25">
      <c r="A36" s="16"/>
      <c r="B36" s="156"/>
      <c r="C36" s="156"/>
      <c r="D36" s="15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5"/>
    </row>
    <row r="37" spans="1:32" x14ac:dyDescent="0.25">
      <c r="A37" s="20" t="s">
        <v>37</v>
      </c>
      <c r="B37" s="25"/>
      <c r="C37" s="25"/>
      <c r="D37" s="25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15"/>
    </row>
    <row r="38" spans="1:32" x14ac:dyDescent="0.25">
      <c r="A38" s="20" t="s">
        <v>38</v>
      </c>
      <c r="B38" s="168">
        <f t="shared" ref="B38" si="31">SUM(B39:B53)</f>
        <v>1052777</v>
      </c>
      <c r="C38" s="21">
        <f>SUM(C39:C53)</f>
        <v>1090713</v>
      </c>
      <c r="D38" s="21">
        <f>SUM(D39:D53)</f>
        <v>1058710</v>
      </c>
      <c r="E38" s="21">
        <f t="shared" ref="E38" si="32">SUM(E39:E53)</f>
        <v>988543</v>
      </c>
      <c r="F38" s="21">
        <f t="shared" ref="F38:G38" si="33">SUM(F39:F53)</f>
        <v>896524</v>
      </c>
      <c r="G38" s="21">
        <f t="shared" si="33"/>
        <v>1024572</v>
      </c>
      <c r="H38" s="21">
        <f t="shared" ref="H38:I38" si="34">SUM(H39:H53)</f>
        <v>1003424</v>
      </c>
      <c r="I38" s="21">
        <f t="shared" si="34"/>
        <v>980722</v>
      </c>
      <c r="J38" s="21">
        <f t="shared" ref="J38:K38" si="35">SUM(J39:J53)</f>
        <v>825457</v>
      </c>
      <c r="K38" s="21">
        <f t="shared" si="35"/>
        <v>956791</v>
      </c>
      <c r="L38" s="21">
        <f t="shared" ref="L38:M38" si="36">SUM(L39:L53)</f>
        <v>909387</v>
      </c>
      <c r="M38" s="21">
        <f t="shared" si="36"/>
        <v>870027</v>
      </c>
      <c r="N38" s="21">
        <f t="shared" ref="N38:AB38" si="37">SUM(N39:N53)</f>
        <v>741011</v>
      </c>
      <c r="O38" s="21">
        <f t="shared" si="37"/>
        <v>792846</v>
      </c>
      <c r="P38" s="21">
        <f t="shared" si="37"/>
        <v>796430</v>
      </c>
      <c r="Q38" s="21">
        <f t="shared" si="37"/>
        <v>719233</v>
      </c>
      <c r="R38" s="21">
        <f t="shared" si="37"/>
        <v>662300</v>
      </c>
      <c r="S38" s="21">
        <f t="shared" si="37"/>
        <v>611469</v>
      </c>
      <c r="T38" s="21">
        <f t="shared" ref="T38" si="38">SUM(T39:T53)</f>
        <v>626027</v>
      </c>
      <c r="U38" s="21">
        <f t="shared" si="37"/>
        <v>689248</v>
      </c>
      <c r="V38" s="21">
        <f t="shared" si="37"/>
        <v>672441</v>
      </c>
      <c r="W38" s="21">
        <f t="shared" si="37"/>
        <v>696789</v>
      </c>
      <c r="X38" s="21">
        <f t="shared" si="37"/>
        <v>698249</v>
      </c>
      <c r="Y38" s="21">
        <f t="shared" si="37"/>
        <v>843359</v>
      </c>
      <c r="Z38" s="21">
        <f t="shared" si="37"/>
        <v>742782</v>
      </c>
      <c r="AA38" s="21">
        <f t="shared" si="37"/>
        <v>742782</v>
      </c>
      <c r="AB38" s="21">
        <f t="shared" si="37"/>
        <v>731251</v>
      </c>
      <c r="AC38" s="21">
        <f t="shared" ref="AC38:AE38" si="39">SUM(AC39:AC53)</f>
        <v>606496</v>
      </c>
      <c r="AD38" s="21">
        <f t="shared" si="39"/>
        <v>586626</v>
      </c>
      <c r="AE38" s="21">
        <f t="shared" si="39"/>
        <v>568725</v>
      </c>
      <c r="AF38" s="15"/>
    </row>
    <row r="39" spans="1:32" x14ac:dyDescent="0.25">
      <c r="A39" s="16" t="s">
        <v>39</v>
      </c>
      <c r="B39" s="166">
        <v>71285</v>
      </c>
      <c r="C39" s="17">
        <v>61114</v>
      </c>
      <c r="D39" s="17">
        <v>25698</v>
      </c>
      <c r="E39" s="17">
        <v>26357</v>
      </c>
      <c r="F39" s="17">
        <v>25290</v>
      </c>
      <c r="G39" s="17">
        <v>27299</v>
      </c>
      <c r="H39" s="17">
        <v>26488</v>
      </c>
      <c r="I39" s="17">
        <v>25715</v>
      </c>
      <c r="J39" s="17">
        <v>24639</v>
      </c>
      <c r="K39" s="17">
        <v>24848</v>
      </c>
      <c r="L39" s="17">
        <v>23280</v>
      </c>
      <c r="M39" s="17">
        <v>27142</v>
      </c>
      <c r="N39" s="17">
        <v>25605</v>
      </c>
      <c r="O39" s="17">
        <v>26238</v>
      </c>
      <c r="P39" s="17">
        <v>27868</v>
      </c>
      <c r="Q39" s="17">
        <v>29611</v>
      </c>
      <c r="R39" s="17">
        <v>33647</v>
      </c>
      <c r="S39" s="17">
        <v>16237</v>
      </c>
      <c r="T39" s="17">
        <v>44252</v>
      </c>
      <c r="U39" s="17">
        <v>135030</v>
      </c>
      <c r="V39" s="17">
        <v>134123</v>
      </c>
      <c r="W39" s="17">
        <v>137560</v>
      </c>
      <c r="X39" s="17">
        <v>134637</v>
      </c>
      <c r="Y39" s="17">
        <v>138335</v>
      </c>
      <c r="Z39" s="17">
        <v>135006</v>
      </c>
      <c r="AA39" s="17">
        <v>135006</v>
      </c>
      <c r="AB39" s="17">
        <v>130881</v>
      </c>
      <c r="AC39" s="17">
        <v>132997</v>
      </c>
      <c r="AD39" s="17">
        <v>131616</v>
      </c>
      <c r="AE39" s="17">
        <v>136211</v>
      </c>
      <c r="AF39" s="15"/>
    </row>
    <row r="40" spans="1:32" x14ac:dyDescent="0.25">
      <c r="A40" s="18" t="s">
        <v>40</v>
      </c>
      <c r="B40" s="167">
        <v>296924</v>
      </c>
      <c r="C40" s="19">
        <v>271004</v>
      </c>
      <c r="D40" s="19">
        <v>266921</v>
      </c>
      <c r="E40" s="19">
        <v>275312</v>
      </c>
      <c r="F40" s="19">
        <v>266412</v>
      </c>
      <c r="G40" s="19">
        <v>259412</v>
      </c>
      <c r="H40" s="19">
        <v>252414</v>
      </c>
      <c r="I40" s="19">
        <v>233107</v>
      </c>
      <c r="J40" s="19">
        <v>235626</v>
      </c>
      <c r="K40" s="19">
        <v>230463</v>
      </c>
      <c r="L40" s="19">
        <v>225490</v>
      </c>
      <c r="M40" s="19">
        <v>232723</v>
      </c>
      <c r="N40" s="19">
        <v>220324</v>
      </c>
      <c r="O40" s="19">
        <v>217260</v>
      </c>
      <c r="P40" s="19">
        <v>213499</v>
      </c>
      <c r="Q40" s="19">
        <v>174721</v>
      </c>
      <c r="R40" s="19">
        <v>159259</v>
      </c>
      <c r="S40" s="19">
        <v>140873</v>
      </c>
      <c r="T40" s="19">
        <v>121811</v>
      </c>
      <c r="U40" s="19">
        <v>126941</v>
      </c>
      <c r="V40" s="19">
        <v>131634</v>
      </c>
      <c r="W40" s="19">
        <v>132549</v>
      </c>
      <c r="X40" s="19">
        <v>133409</v>
      </c>
      <c r="Y40" s="19">
        <v>214331</v>
      </c>
      <c r="Z40" s="19">
        <v>113114</v>
      </c>
      <c r="AA40" s="19">
        <v>113114</v>
      </c>
      <c r="AB40" s="19">
        <v>95524</v>
      </c>
      <c r="AC40" s="19">
        <v>79126</v>
      </c>
      <c r="AD40" s="19">
        <v>61250</v>
      </c>
      <c r="AE40" s="19">
        <v>41849</v>
      </c>
      <c r="AF40" s="15"/>
    </row>
    <row r="41" spans="1:32" x14ac:dyDescent="0.25">
      <c r="A41" s="16" t="s">
        <v>41</v>
      </c>
      <c r="B41" s="166">
        <v>47447</v>
      </c>
      <c r="C41" s="17">
        <v>44413</v>
      </c>
      <c r="D41" s="17">
        <v>35037</v>
      </c>
      <c r="E41" s="17">
        <v>22328</v>
      </c>
      <c r="F41" s="17">
        <v>25101</v>
      </c>
      <c r="G41" s="17">
        <v>16744</v>
      </c>
      <c r="H41" s="17">
        <v>14680</v>
      </c>
      <c r="I41" s="17">
        <v>29093</v>
      </c>
      <c r="J41" s="17">
        <v>38834</v>
      </c>
      <c r="K41" s="17">
        <v>37545</v>
      </c>
      <c r="L41" s="17">
        <v>36468</v>
      </c>
      <c r="M41" s="17">
        <v>35146</v>
      </c>
      <c r="N41" s="17">
        <v>32522</v>
      </c>
      <c r="O41" s="17">
        <v>29297</v>
      </c>
      <c r="P41" s="17">
        <v>21900</v>
      </c>
      <c r="Q41" s="17">
        <v>13332</v>
      </c>
      <c r="R41" s="17">
        <v>10416</v>
      </c>
      <c r="S41" s="17">
        <v>15182</v>
      </c>
      <c r="T41" s="17">
        <v>18768</v>
      </c>
      <c r="U41" s="17">
        <v>16335</v>
      </c>
      <c r="V41" s="17">
        <v>15930</v>
      </c>
      <c r="W41" s="17">
        <v>15617</v>
      </c>
      <c r="X41" s="17">
        <v>14837</v>
      </c>
      <c r="Y41" s="17">
        <v>13998</v>
      </c>
      <c r="Z41" s="17">
        <v>13583</v>
      </c>
      <c r="AA41" s="17">
        <v>13583</v>
      </c>
      <c r="AB41" s="17">
        <v>13150</v>
      </c>
      <c r="AC41" s="17">
        <v>13943</v>
      </c>
      <c r="AD41" s="17">
        <v>13248</v>
      </c>
      <c r="AE41" s="17">
        <v>17191</v>
      </c>
      <c r="AF41" s="15"/>
    </row>
    <row r="42" spans="1:32" x14ac:dyDescent="0.25">
      <c r="A42" s="18" t="s">
        <v>42</v>
      </c>
      <c r="B42" s="167">
        <v>199545</v>
      </c>
      <c r="C42" s="19">
        <v>180063</v>
      </c>
      <c r="D42" s="19">
        <v>214173</v>
      </c>
      <c r="E42" s="19">
        <v>188274</v>
      </c>
      <c r="F42" s="19">
        <v>192401</v>
      </c>
      <c r="G42" s="19">
        <v>167454</v>
      </c>
      <c r="H42" s="19">
        <v>200800</v>
      </c>
      <c r="I42" s="19">
        <v>174147</v>
      </c>
      <c r="J42" s="19">
        <v>159652</v>
      </c>
      <c r="K42" s="19">
        <v>180802</v>
      </c>
      <c r="L42" s="19">
        <v>205653</v>
      </c>
      <c r="M42" s="19">
        <v>154023</v>
      </c>
      <c r="N42" s="19">
        <v>142826</v>
      </c>
      <c r="O42" s="19">
        <v>134600</v>
      </c>
      <c r="P42" s="19">
        <v>177458</v>
      </c>
      <c r="Q42" s="19">
        <v>146105</v>
      </c>
      <c r="R42" s="19">
        <v>133049</v>
      </c>
      <c r="S42" s="19">
        <v>134693</v>
      </c>
      <c r="T42" s="19">
        <v>129261</v>
      </c>
      <c r="U42" s="19">
        <v>113101</v>
      </c>
      <c r="V42" s="19">
        <v>100243</v>
      </c>
      <c r="W42" s="19">
        <v>100895</v>
      </c>
      <c r="X42" s="19">
        <v>118057</v>
      </c>
      <c r="Y42" s="19">
        <v>143603</v>
      </c>
      <c r="Z42" s="19">
        <v>117021</v>
      </c>
      <c r="AA42" s="19">
        <v>117021</v>
      </c>
      <c r="AB42" s="19">
        <v>129678</v>
      </c>
      <c r="AC42" s="19">
        <v>138904</v>
      </c>
      <c r="AD42" s="19">
        <v>112783</v>
      </c>
      <c r="AE42" s="19">
        <v>145563</v>
      </c>
      <c r="AF42" s="15"/>
    </row>
    <row r="43" spans="1:32" x14ac:dyDescent="0.25">
      <c r="A43" s="16" t="s">
        <v>43</v>
      </c>
      <c r="B43" s="166">
        <v>232223</v>
      </c>
      <c r="C43" s="17">
        <v>229034</v>
      </c>
      <c r="D43" s="17">
        <v>199737</v>
      </c>
      <c r="E43" s="17">
        <v>260723</v>
      </c>
      <c r="F43" s="17">
        <v>222887</v>
      </c>
      <c r="G43" s="17">
        <v>216845</v>
      </c>
      <c r="H43" s="17">
        <v>197766</v>
      </c>
      <c r="I43" s="17">
        <v>200056</v>
      </c>
      <c r="J43" s="17">
        <v>187420</v>
      </c>
      <c r="K43" s="17">
        <v>152039</v>
      </c>
      <c r="L43" s="17">
        <v>141657</v>
      </c>
      <c r="M43" s="17">
        <v>195055</v>
      </c>
      <c r="N43" s="17">
        <v>160464</v>
      </c>
      <c r="O43" s="17">
        <v>135367</v>
      </c>
      <c r="P43" s="17">
        <v>140074</v>
      </c>
      <c r="Q43" s="17">
        <v>166082</v>
      </c>
      <c r="R43" s="17">
        <v>154541</v>
      </c>
      <c r="S43" s="17">
        <v>128316</v>
      </c>
      <c r="T43" s="17">
        <f>118353+35246</f>
        <v>153599</v>
      </c>
      <c r="U43" s="17">
        <v>159858</v>
      </c>
      <c r="V43" s="17">
        <v>182195</v>
      </c>
      <c r="W43" s="17">
        <v>152822</v>
      </c>
      <c r="X43" s="17">
        <v>143801</v>
      </c>
      <c r="Y43" s="17">
        <v>201081</v>
      </c>
      <c r="Z43" s="17">
        <v>138081</v>
      </c>
      <c r="AA43" s="17">
        <v>138081</v>
      </c>
      <c r="AB43" s="17">
        <v>149286</v>
      </c>
      <c r="AC43" s="17">
        <v>162582</v>
      </c>
      <c r="AD43" s="17">
        <v>183231</v>
      </c>
      <c r="AE43" s="17">
        <v>131109</v>
      </c>
      <c r="AF43" s="15"/>
    </row>
    <row r="44" spans="1:32" x14ac:dyDescent="0.25">
      <c r="A44" s="18" t="s">
        <v>44</v>
      </c>
      <c r="B44" s="167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45284</v>
      </c>
      <c r="J44" s="19">
        <v>27945</v>
      </c>
      <c r="K44" s="19">
        <v>62803</v>
      </c>
      <c r="L44" s="19">
        <v>49628</v>
      </c>
      <c r="M44" s="19">
        <v>40631</v>
      </c>
      <c r="N44" s="19">
        <v>23256</v>
      </c>
      <c r="O44" s="19">
        <v>52299</v>
      </c>
      <c r="P44" s="19">
        <v>39324</v>
      </c>
      <c r="Q44" s="19">
        <v>28799</v>
      </c>
      <c r="R44" s="19">
        <v>35457</v>
      </c>
      <c r="S44" s="19">
        <v>22840</v>
      </c>
      <c r="T44" s="19" t="s">
        <v>17</v>
      </c>
      <c r="U44" s="19" t="s">
        <v>17</v>
      </c>
      <c r="V44" s="19" t="s">
        <v>17</v>
      </c>
      <c r="W44" s="19" t="s">
        <v>17</v>
      </c>
      <c r="X44" s="19" t="s">
        <v>17</v>
      </c>
      <c r="Y44" s="19"/>
      <c r="Z44" s="19"/>
      <c r="AA44" s="19"/>
      <c r="AB44" s="19" t="s">
        <v>17</v>
      </c>
      <c r="AC44" s="19"/>
      <c r="AD44" s="19"/>
      <c r="AE44" s="19"/>
      <c r="AF44" s="15"/>
    </row>
    <row r="45" spans="1:32" x14ac:dyDescent="0.25">
      <c r="A45" s="16" t="s">
        <v>45</v>
      </c>
      <c r="B45" s="166">
        <v>74583</v>
      </c>
      <c r="C45" s="17">
        <v>70124</v>
      </c>
      <c r="D45" s="17">
        <v>94346</v>
      </c>
      <c r="E45" s="17">
        <v>67630</v>
      </c>
      <c r="F45" s="17">
        <v>78187</v>
      </c>
      <c r="G45" s="17">
        <v>75534</v>
      </c>
      <c r="H45" s="17">
        <v>81400</v>
      </c>
      <c r="I45" s="17">
        <v>62451</v>
      </c>
      <c r="J45" s="17">
        <v>63284</v>
      </c>
      <c r="K45" s="17">
        <v>77165</v>
      </c>
      <c r="L45" s="17">
        <v>64778</v>
      </c>
      <c r="M45" s="17">
        <v>66321</v>
      </c>
      <c r="N45" s="17">
        <v>55891</v>
      </c>
      <c r="O45" s="17">
        <v>52980</v>
      </c>
      <c r="P45" s="17">
        <v>57189</v>
      </c>
      <c r="Q45" s="17">
        <v>63062</v>
      </c>
      <c r="R45" s="17">
        <v>42655</v>
      </c>
      <c r="S45" s="17">
        <v>37067</v>
      </c>
      <c r="T45" s="17">
        <v>42496</v>
      </c>
      <c r="U45" s="17">
        <v>52311</v>
      </c>
      <c r="V45" s="17">
        <v>34395</v>
      </c>
      <c r="W45" s="17">
        <v>31941</v>
      </c>
      <c r="X45" s="17">
        <v>33813</v>
      </c>
      <c r="Y45" s="17">
        <v>67931</v>
      </c>
      <c r="Z45" s="17">
        <v>30314</v>
      </c>
      <c r="AA45" s="17">
        <v>30314</v>
      </c>
      <c r="AB45" s="17">
        <v>19648</v>
      </c>
      <c r="AC45" s="17">
        <v>24714</v>
      </c>
      <c r="AD45" s="17">
        <v>25996</v>
      </c>
      <c r="AE45" s="17">
        <v>29230</v>
      </c>
      <c r="AF45" s="15"/>
    </row>
    <row r="46" spans="1:32" x14ac:dyDescent="0.25">
      <c r="A46" s="18" t="s">
        <v>46</v>
      </c>
      <c r="B46" s="167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250</v>
      </c>
      <c r="I46" s="19">
        <v>2020</v>
      </c>
      <c r="J46" s="19">
        <v>2615</v>
      </c>
      <c r="K46" s="19">
        <v>3192</v>
      </c>
      <c r="L46" s="19">
        <v>3500</v>
      </c>
      <c r="M46" s="19">
        <v>3536</v>
      </c>
      <c r="N46" s="19">
        <v>3464</v>
      </c>
      <c r="O46" s="19">
        <v>2049</v>
      </c>
      <c r="P46" s="19">
        <v>2018</v>
      </c>
      <c r="Q46" s="19">
        <v>1988</v>
      </c>
      <c r="R46" s="19">
        <v>1959</v>
      </c>
      <c r="S46" s="19">
        <v>1931</v>
      </c>
      <c r="T46" s="19">
        <v>909</v>
      </c>
      <c r="U46" s="19">
        <v>982</v>
      </c>
      <c r="V46" s="19">
        <v>1643</v>
      </c>
      <c r="W46" s="19">
        <v>2134</v>
      </c>
      <c r="X46" s="19">
        <v>5252</v>
      </c>
      <c r="Y46" s="19">
        <v>13937</v>
      </c>
      <c r="Z46" s="19">
        <v>3414</v>
      </c>
      <c r="AA46" s="19">
        <v>3414</v>
      </c>
      <c r="AB46" s="19">
        <v>2672</v>
      </c>
      <c r="AC46" s="19">
        <v>17927</v>
      </c>
      <c r="AD46" s="19">
        <v>18537</v>
      </c>
      <c r="AE46" s="19">
        <v>24190</v>
      </c>
      <c r="AF46" s="15"/>
    </row>
    <row r="47" spans="1:32" x14ac:dyDescent="0.25">
      <c r="A47" s="16" t="s">
        <v>47</v>
      </c>
      <c r="B47" s="166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3480</v>
      </c>
      <c r="M47" s="17">
        <v>2928</v>
      </c>
      <c r="N47" s="17">
        <v>736</v>
      </c>
      <c r="O47" s="17">
        <v>661</v>
      </c>
      <c r="P47" s="17">
        <v>736</v>
      </c>
      <c r="Q47" s="17">
        <v>759</v>
      </c>
      <c r="R47" s="17">
        <v>216</v>
      </c>
      <c r="S47" s="17">
        <v>544</v>
      </c>
      <c r="T47" s="17" t="s">
        <v>17</v>
      </c>
      <c r="U47" s="17" t="s">
        <v>17</v>
      </c>
      <c r="V47" s="17" t="s">
        <v>17</v>
      </c>
      <c r="W47" s="17">
        <v>0</v>
      </c>
      <c r="X47" s="17">
        <v>0</v>
      </c>
      <c r="Y47" s="17"/>
      <c r="Z47" s="17"/>
      <c r="AA47" s="17"/>
      <c r="AB47" s="17">
        <v>0</v>
      </c>
      <c r="AC47" s="17">
        <v>437</v>
      </c>
      <c r="AD47" s="17">
        <v>4091</v>
      </c>
      <c r="AE47" s="17">
        <v>1704</v>
      </c>
      <c r="AF47" s="15"/>
    </row>
    <row r="48" spans="1:32" x14ac:dyDescent="0.25">
      <c r="A48" s="18" t="s">
        <v>48</v>
      </c>
      <c r="B48" s="167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4349</v>
      </c>
      <c r="Q48" s="19">
        <v>2260</v>
      </c>
      <c r="R48" s="19">
        <v>0</v>
      </c>
      <c r="S48" s="19">
        <v>10146</v>
      </c>
      <c r="T48" s="19">
        <v>10146</v>
      </c>
      <c r="U48" s="19">
        <v>10147</v>
      </c>
      <c r="V48" s="19">
        <v>15220</v>
      </c>
      <c r="W48" s="19">
        <v>15220</v>
      </c>
      <c r="X48" s="19">
        <v>15220</v>
      </c>
      <c r="Y48" s="19">
        <v>15220</v>
      </c>
      <c r="Z48" s="19">
        <v>97148</v>
      </c>
      <c r="AA48" s="19">
        <v>97148</v>
      </c>
      <c r="AB48" s="19">
        <v>100236</v>
      </c>
      <c r="AC48" s="19"/>
      <c r="AD48" s="19"/>
      <c r="AE48" s="19"/>
      <c r="AF48" s="15"/>
    </row>
    <row r="49" spans="1:32" x14ac:dyDescent="0.25">
      <c r="A49" s="16" t="s">
        <v>133</v>
      </c>
      <c r="B49" s="166">
        <v>69796</v>
      </c>
      <c r="C49" s="17">
        <v>56669</v>
      </c>
      <c r="D49" s="17">
        <v>63588</v>
      </c>
      <c r="E49" s="17">
        <v>38872</v>
      </c>
      <c r="F49" s="17">
        <v>21385</v>
      </c>
      <c r="G49" s="17">
        <v>22897</v>
      </c>
      <c r="H49" s="17">
        <v>17504</v>
      </c>
      <c r="I49" s="17">
        <v>22092</v>
      </c>
      <c r="J49" s="17">
        <v>16184</v>
      </c>
      <c r="K49" s="17">
        <v>14453</v>
      </c>
      <c r="L49" s="17">
        <v>13322</v>
      </c>
      <c r="M49" s="17">
        <v>13289</v>
      </c>
      <c r="N49" s="17">
        <v>17635</v>
      </c>
      <c r="O49" s="17">
        <v>13405</v>
      </c>
      <c r="P49" s="17">
        <v>13789</v>
      </c>
      <c r="Q49" s="17">
        <v>21116</v>
      </c>
      <c r="R49" s="17">
        <v>52798</v>
      </c>
      <c r="S49" s="17">
        <v>13709</v>
      </c>
      <c r="T49" s="17">
        <v>13392</v>
      </c>
      <c r="U49" s="17">
        <v>13920</v>
      </c>
      <c r="V49" s="17">
        <v>25821</v>
      </c>
      <c r="W49" s="17">
        <v>25647</v>
      </c>
      <c r="X49" s="17">
        <v>15729</v>
      </c>
      <c r="Y49" s="17">
        <v>12491</v>
      </c>
      <c r="Z49" s="17">
        <v>16953</v>
      </c>
      <c r="AA49" s="17">
        <v>16953</v>
      </c>
      <c r="AB49" s="17">
        <v>12164</v>
      </c>
      <c r="AC49" s="17">
        <v>13887</v>
      </c>
      <c r="AD49" s="17">
        <v>33339</v>
      </c>
      <c r="AE49" s="17">
        <v>10245</v>
      </c>
      <c r="AF49" s="15"/>
    </row>
    <row r="50" spans="1:32" x14ac:dyDescent="0.25">
      <c r="A50" s="18" t="s">
        <v>23</v>
      </c>
      <c r="B50" s="167">
        <v>1012</v>
      </c>
      <c r="C50" s="19">
        <v>455</v>
      </c>
      <c r="D50" s="19">
        <v>140</v>
      </c>
      <c r="E50" s="19">
        <v>742</v>
      </c>
      <c r="F50" s="19">
        <v>1021</v>
      </c>
      <c r="G50" s="19">
        <v>62439</v>
      </c>
      <c r="H50" s="19">
        <v>62004</v>
      </c>
      <c r="I50" s="19">
        <v>76718</v>
      </c>
      <c r="J50" s="19">
        <v>399</v>
      </c>
      <c r="K50" s="19">
        <v>1034</v>
      </c>
      <c r="L50" s="19">
        <v>976</v>
      </c>
      <c r="M50" s="19">
        <v>246</v>
      </c>
      <c r="N50" s="19">
        <v>565</v>
      </c>
      <c r="O50" s="19">
        <v>0</v>
      </c>
      <c r="P50" s="19">
        <v>349</v>
      </c>
      <c r="Q50" s="19">
        <v>511</v>
      </c>
      <c r="R50" s="19">
        <v>325</v>
      </c>
      <c r="S50" s="19">
        <v>0</v>
      </c>
      <c r="T50" s="19">
        <v>6386</v>
      </c>
      <c r="U50" s="19">
        <v>276</v>
      </c>
      <c r="V50" s="19">
        <v>6</v>
      </c>
      <c r="W50" s="19">
        <v>526</v>
      </c>
      <c r="X50" s="19">
        <v>1616</v>
      </c>
      <c r="Y50" s="19">
        <v>1690</v>
      </c>
      <c r="Z50" s="19">
        <v>1162</v>
      </c>
      <c r="AA50" s="19">
        <v>1162</v>
      </c>
      <c r="AB50" s="19">
        <v>1026</v>
      </c>
      <c r="AC50" s="19">
        <v>1182</v>
      </c>
      <c r="AD50" s="19">
        <v>541</v>
      </c>
      <c r="AE50" s="19">
        <v>608</v>
      </c>
      <c r="AF50" s="15"/>
    </row>
    <row r="51" spans="1:32" x14ac:dyDescent="0.25">
      <c r="A51" s="16" t="s">
        <v>49</v>
      </c>
      <c r="B51" s="166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 t="s">
        <v>17</v>
      </c>
      <c r="O51" s="17">
        <v>0</v>
      </c>
      <c r="P51" s="17">
        <v>0</v>
      </c>
      <c r="Q51" s="17">
        <v>0</v>
      </c>
      <c r="R51" s="17">
        <v>0</v>
      </c>
      <c r="S51" s="17">
        <v>367</v>
      </c>
      <c r="T51" s="17">
        <v>467</v>
      </c>
      <c r="U51" s="17">
        <v>0</v>
      </c>
      <c r="V51" s="17">
        <v>0</v>
      </c>
      <c r="W51" s="17">
        <v>0</v>
      </c>
      <c r="X51" s="17">
        <v>0</v>
      </c>
      <c r="Y51" s="17"/>
      <c r="Z51" s="17"/>
      <c r="AA51" s="17"/>
      <c r="AB51" s="17">
        <v>0</v>
      </c>
      <c r="AC51" s="17"/>
      <c r="AD51" s="17"/>
      <c r="AE51" s="17"/>
      <c r="AF51" s="15"/>
    </row>
    <row r="52" spans="1:32" x14ac:dyDescent="0.25">
      <c r="A52" s="18" t="s">
        <v>50</v>
      </c>
      <c r="B52" s="167">
        <v>59962</v>
      </c>
      <c r="C52" s="19">
        <v>177837</v>
      </c>
      <c r="D52" s="19">
        <v>159070</v>
      </c>
      <c r="E52" s="19">
        <v>108305</v>
      </c>
      <c r="F52" s="19">
        <v>63840</v>
      </c>
      <c r="G52" s="19">
        <v>175948</v>
      </c>
      <c r="H52" s="19">
        <v>147629</v>
      </c>
      <c r="I52" s="19">
        <v>107550</v>
      </c>
      <c r="J52" s="19">
        <v>66370</v>
      </c>
      <c r="K52" s="19">
        <v>169958</v>
      </c>
      <c r="L52" s="19">
        <v>138666</v>
      </c>
      <c r="M52" s="19">
        <v>96498</v>
      </c>
      <c r="N52" s="19">
        <v>55234</v>
      </c>
      <c r="O52" s="19">
        <v>126201</v>
      </c>
      <c r="P52" s="19">
        <v>95388</v>
      </c>
      <c r="Q52" s="19">
        <v>68398</v>
      </c>
      <c r="R52" s="19">
        <v>35489</v>
      </c>
      <c r="S52" s="19">
        <v>89232</v>
      </c>
      <c r="T52" s="19">
        <v>83709</v>
      </c>
      <c r="U52" s="19">
        <v>59018</v>
      </c>
      <c r="V52" s="19">
        <v>29403</v>
      </c>
      <c r="W52" s="19">
        <v>79884</v>
      </c>
      <c r="X52" s="19">
        <v>79884</v>
      </c>
      <c r="Y52" s="19">
        <v>18748</v>
      </c>
      <c r="Z52" s="19">
        <v>74992</v>
      </c>
      <c r="AA52" s="19">
        <v>74992</v>
      </c>
      <c r="AB52" s="19">
        <v>74992</v>
      </c>
      <c r="AC52" s="19">
        <v>18803</v>
      </c>
      <c r="AD52" s="19"/>
      <c r="AE52" s="19">
        <v>28831</v>
      </c>
      <c r="AF52" s="15"/>
    </row>
    <row r="53" spans="1:32" x14ac:dyDescent="0.25">
      <c r="A53" s="16" t="s">
        <v>51</v>
      </c>
      <c r="B53" s="166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2489</v>
      </c>
      <c r="I53" s="17">
        <v>2489</v>
      </c>
      <c r="J53" s="17">
        <v>2489</v>
      </c>
      <c r="K53" s="17">
        <v>2489</v>
      </c>
      <c r="L53" s="17">
        <v>2489</v>
      </c>
      <c r="M53" s="17">
        <v>2489</v>
      </c>
      <c r="N53" s="17">
        <v>2489</v>
      </c>
      <c r="O53" s="17">
        <v>2489</v>
      </c>
      <c r="P53" s="17">
        <v>2489</v>
      </c>
      <c r="Q53" s="17">
        <v>2489</v>
      </c>
      <c r="R53" s="17">
        <v>2489</v>
      </c>
      <c r="S53" s="17">
        <v>332</v>
      </c>
      <c r="T53" s="17">
        <v>831</v>
      </c>
      <c r="U53" s="17">
        <v>1329</v>
      </c>
      <c r="V53" s="17">
        <v>1828</v>
      </c>
      <c r="W53" s="17">
        <v>1994</v>
      </c>
      <c r="X53" s="17">
        <v>1994</v>
      </c>
      <c r="Y53" s="17">
        <v>1994</v>
      </c>
      <c r="Z53" s="17">
        <v>1994</v>
      </c>
      <c r="AA53" s="17">
        <v>1994</v>
      </c>
      <c r="AB53" s="17">
        <v>1994</v>
      </c>
      <c r="AC53" s="17">
        <v>1994</v>
      </c>
      <c r="AD53" s="17">
        <v>1994</v>
      </c>
      <c r="AE53" s="17">
        <v>1994</v>
      </c>
      <c r="AF53" s="15"/>
    </row>
    <row r="54" spans="1:32" x14ac:dyDescent="0.25">
      <c r="A54" s="20" t="s">
        <v>52</v>
      </c>
      <c r="B54" s="168">
        <f t="shared" ref="B54" si="40">SUM(B55:B69)</f>
        <v>3391218</v>
      </c>
      <c r="C54" s="21">
        <f t="shared" ref="C54:H54" si="41">SUM(C55:C69)</f>
        <v>3497313</v>
      </c>
      <c r="D54" s="21">
        <f t="shared" si="41"/>
        <v>3263201</v>
      </c>
      <c r="E54" s="21">
        <f t="shared" si="41"/>
        <v>3283470</v>
      </c>
      <c r="F54" s="21">
        <f t="shared" si="41"/>
        <v>3336600</v>
      </c>
      <c r="G54" s="21">
        <f t="shared" si="41"/>
        <v>2879468</v>
      </c>
      <c r="H54" s="21">
        <f t="shared" si="41"/>
        <v>2974367</v>
      </c>
      <c r="I54" s="21">
        <f t="shared" ref="I54" si="42">SUM(I55:I68)</f>
        <v>3088207</v>
      </c>
      <c r="J54" s="21">
        <f t="shared" ref="J54:K54" si="43">SUM(J55:J68)</f>
        <v>2939856</v>
      </c>
      <c r="K54" s="21">
        <f t="shared" si="43"/>
        <v>2960064</v>
      </c>
      <c r="L54" s="21">
        <f t="shared" ref="L54:M54" si="44">SUM(L55:L68)</f>
        <v>3042650</v>
      </c>
      <c r="M54" s="21">
        <f t="shared" si="44"/>
        <v>3009730</v>
      </c>
      <c r="N54" s="21">
        <f>SUM(N55:N68)</f>
        <v>2732017</v>
      </c>
      <c r="O54" s="21">
        <f>SUM(O55:O68)</f>
        <v>2671782</v>
      </c>
      <c r="P54" s="21">
        <f>SUM(P55:P68)</f>
        <v>2702733</v>
      </c>
      <c r="Q54" s="21">
        <f>SUM(Q55:Q68)</f>
        <v>2737136</v>
      </c>
      <c r="R54" s="21">
        <f>SUM(R55:R68)</f>
        <v>2441330</v>
      </c>
      <c r="S54" s="21">
        <f t="shared" ref="S54:AB54" si="45">SUM(S55:S67)</f>
        <v>2406926</v>
      </c>
      <c r="T54" s="21">
        <f t="shared" ref="T54" si="46">SUM(T55:T67)</f>
        <v>2319484</v>
      </c>
      <c r="U54" s="21">
        <f t="shared" si="45"/>
        <v>2356993</v>
      </c>
      <c r="V54" s="21">
        <f t="shared" si="45"/>
        <v>2056254</v>
      </c>
      <c r="W54" s="21">
        <f t="shared" si="45"/>
        <v>2089958</v>
      </c>
      <c r="X54" s="21">
        <f t="shared" si="45"/>
        <v>2003157</v>
      </c>
      <c r="Y54" s="21">
        <f t="shared" si="45"/>
        <v>1926175</v>
      </c>
      <c r="Z54" s="21">
        <f t="shared" si="45"/>
        <v>1937615</v>
      </c>
      <c r="AA54" s="21">
        <f t="shared" si="45"/>
        <v>1937615</v>
      </c>
      <c r="AB54" s="21">
        <f t="shared" si="45"/>
        <v>1939753</v>
      </c>
      <c r="AC54" s="21">
        <f t="shared" ref="AC54:AE54" si="47">SUM(AC55:AC67)</f>
        <v>1840185</v>
      </c>
      <c r="AD54" s="21">
        <f>SUM(AD55:AD68)</f>
        <v>1749414</v>
      </c>
      <c r="AE54" s="21">
        <f t="shared" si="47"/>
        <v>1686665</v>
      </c>
      <c r="AF54" s="15"/>
    </row>
    <row r="55" spans="1:32" x14ac:dyDescent="0.25">
      <c r="A55" s="16" t="s">
        <v>53</v>
      </c>
      <c r="B55" s="166">
        <v>462197</v>
      </c>
      <c r="C55" s="17">
        <v>471075</v>
      </c>
      <c r="D55" s="17">
        <v>199540</v>
      </c>
      <c r="E55" s="17">
        <v>207896</v>
      </c>
      <c r="F55" s="17">
        <v>210237</v>
      </c>
      <c r="G55" s="17">
        <v>177028</v>
      </c>
      <c r="H55" s="17">
        <v>181294</v>
      </c>
      <c r="I55" s="17">
        <v>186512</v>
      </c>
      <c r="J55" s="17">
        <v>183827</v>
      </c>
      <c r="K55" s="17">
        <v>157216</v>
      </c>
      <c r="L55" s="17">
        <v>152617</v>
      </c>
      <c r="M55" s="17">
        <v>142953</v>
      </c>
      <c r="N55" s="17">
        <v>142826</v>
      </c>
      <c r="O55" s="17">
        <v>153446</v>
      </c>
      <c r="P55" s="17">
        <v>156648</v>
      </c>
      <c r="Q55" s="17">
        <v>167726</v>
      </c>
      <c r="R55" s="17">
        <v>165869</v>
      </c>
      <c r="S55" s="17">
        <v>168770</v>
      </c>
      <c r="T55" s="17">
        <v>92153</v>
      </c>
      <c r="U55" s="17">
        <v>128407</v>
      </c>
      <c r="V55" s="17">
        <v>152505</v>
      </c>
      <c r="W55" s="17">
        <v>199518</v>
      </c>
      <c r="X55" s="17">
        <v>221249</v>
      </c>
      <c r="Y55" s="17">
        <v>264534</v>
      </c>
      <c r="Z55" s="17">
        <v>321829</v>
      </c>
      <c r="AA55" s="17">
        <v>321829</v>
      </c>
      <c r="AB55" s="17">
        <v>330121</v>
      </c>
      <c r="AC55" s="17">
        <v>365679</v>
      </c>
      <c r="AD55" s="17">
        <v>390354</v>
      </c>
      <c r="AE55" s="17">
        <v>425639</v>
      </c>
      <c r="AF55" s="15"/>
    </row>
    <row r="56" spans="1:32" x14ac:dyDescent="0.25">
      <c r="A56" s="18" t="s">
        <v>54</v>
      </c>
      <c r="B56" s="167">
        <v>699105</v>
      </c>
      <c r="C56" s="19">
        <v>787192</v>
      </c>
      <c r="D56" s="19">
        <v>852892</v>
      </c>
      <c r="E56" s="19">
        <v>918627</v>
      </c>
      <c r="F56" s="19">
        <v>989958</v>
      </c>
      <c r="G56" s="19">
        <v>656168</v>
      </c>
      <c r="H56" s="19">
        <v>717945</v>
      </c>
      <c r="I56" s="19">
        <v>792085</v>
      </c>
      <c r="J56" s="19">
        <v>558721</v>
      </c>
      <c r="K56" s="19">
        <v>614061</v>
      </c>
      <c r="L56" s="19">
        <v>669345</v>
      </c>
      <c r="M56" s="19">
        <v>725119</v>
      </c>
      <c r="N56" s="19">
        <v>494559</v>
      </c>
      <c r="O56" s="19">
        <v>544805</v>
      </c>
      <c r="P56" s="19">
        <v>594981</v>
      </c>
      <c r="Q56" s="19">
        <v>668082</v>
      </c>
      <c r="R56" s="19">
        <v>511724</v>
      </c>
      <c r="S56" s="19">
        <v>558528</v>
      </c>
      <c r="T56" s="19">
        <v>605320</v>
      </c>
      <c r="U56" s="19">
        <v>639661</v>
      </c>
      <c r="V56" s="19">
        <v>419395</v>
      </c>
      <c r="W56" s="19">
        <v>447753</v>
      </c>
      <c r="X56" s="19">
        <v>476198</v>
      </c>
      <c r="Y56" s="19">
        <v>355529</v>
      </c>
      <c r="Z56" s="19">
        <v>359798</v>
      </c>
      <c r="AA56" s="19">
        <v>359798</v>
      </c>
      <c r="AB56" s="19">
        <v>389327</v>
      </c>
      <c r="AC56" s="19">
        <v>419224</v>
      </c>
      <c r="AD56" s="19">
        <v>310762</v>
      </c>
      <c r="AE56" s="19">
        <v>333900</v>
      </c>
      <c r="AF56" s="15"/>
    </row>
    <row r="57" spans="1:32" x14ac:dyDescent="0.25">
      <c r="A57" s="16" t="s">
        <v>41</v>
      </c>
      <c r="B57" s="166">
        <v>160018</v>
      </c>
      <c r="C57" s="17">
        <v>164925</v>
      </c>
      <c r="D57" s="17">
        <v>141039</v>
      </c>
      <c r="E57" s="17">
        <v>93796</v>
      </c>
      <c r="F57" s="17">
        <v>85055</v>
      </c>
      <c r="G57" s="17" t="s">
        <v>266</v>
      </c>
      <c r="H57" s="17">
        <v>44</v>
      </c>
      <c r="I57" s="17">
        <v>42</v>
      </c>
      <c r="J57" s="17">
        <v>85397</v>
      </c>
      <c r="K57" s="17">
        <v>95503</v>
      </c>
      <c r="L57" s="17">
        <v>103742</v>
      </c>
      <c r="M57" s="17">
        <v>110202</v>
      </c>
      <c r="N57" s="17">
        <v>120427</v>
      </c>
      <c r="O57" s="17">
        <v>114131</v>
      </c>
      <c r="P57" s="17">
        <v>88931</v>
      </c>
      <c r="Q57" s="17">
        <v>34388</v>
      </c>
      <c r="R57" s="17">
        <v>0</v>
      </c>
      <c r="S57" s="17">
        <v>0</v>
      </c>
      <c r="T57" s="17">
        <v>967</v>
      </c>
      <c r="U57" s="17">
        <v>4829</v>
      </c>
      <c r="V57" s="17">
        <v>9009</v>
      </c>
      <c r="W57" s="17">
        <v>13204</v>
      </c>
      <c r="X57" s="17">
        <v>17254</v>
      </c>
      <c r="Y57" s="17">
        <v>20689</v>
      </c>
      <c r="Z57" s="17">
        <v>28019</v>
      </c>
      <c r="AA57" s="17">
        <v>28019</v>
      </c>
      <c r="AB57" s="17">
        <v>32621</v>
      </c>
      <c r="AC57" s="17">
        <v>38201</v>
      </c>
      <c r="AD57" s="17">
        <v>41805</v>
      </c>
      <c r="AE57" s="17">
        <v>40884</v>
      </c>
      <c r="AF57" s="15"/>
    </row>
    <row r="58" spans="1:32" x14ac:dyDescent="0.25">
      <c r="A58" s="18" t="s">
        <v>55</v>
      </c>
      <c r="B58" s="167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 t="s">
        <v>17</v>
      </c>
      <c r="O58" s="19">
        <v>0</v>
      </c>
      <c r="P58" s="19">
        <v>427</v>
      </c>
      <c r="Q58" s="19">
        <v>857</v>
      </c>
      <c r="R58" s="19">
        <v>1432</v>
      </c>
      <c r="S58" s="19" t="s">
        <v>17</v>
      </c>
      <c r="T58" s="19" t="s">
        <v>17</v>
      </c>
      <c r="U58" s="19" t="s">
        <v>17</v>
      </c>
      <c r="V58" s="19" t="s">
        <v>17</v>
      </c>
      <c r="W58" s="19">
        <v>0</v>
      </c>
      <c r="X58" s="19">
        <v>0</v>
      </c>
      <c r="Y58" s="19"/>
      <c r="Z58" s="19">
        <v>1276</v>
      </c>
      <c r="AA58" s="19">
        <v>1276</v>
      </c>
      <c r="AB58" s="19">
        <v>1932</v>
      </c>
      <c r="AC58" s="19">
        <v>2788</v>
      </c>
      <c r="AD58" s="19"/>
      <c r="AE58" s="19"/>
      <c r="AF58" s="15"/>
    </row>
    <row r="59" spans="1:32" x14ac:dyDescent="0.25">
      <c r="A59" s="16" t="s">
        <v>56</v>
      </c>
      <c r="B59" s="166">
        <v>5312</v>
      </c>
      <c r="C59" s="17">
        <v>6193</v>
      </c>
      <c r="D59" s="17">
        <v>7402</v>
      </c>
      <c r="E59" s="17">
        <v>8720</v>
      </c>
      <c r="F59" s="17">
        <v>10772</v>
      </c>
      <c r="G59" s="17">
        <v>14329</v>
      </c>
      <c r="H59" s="17">
        <v>17749</v>
      </c>
      <c r="I59" s="17">
        <v>21057</v>
      </c>
      <c r="J59" s="17">
        <v>24224</v>
      </c>
      <c r="K59" s="17">
        <v>27269</v>
      </c>
      <c r="L59" s="17">
        <v>30155</v>
      </c>
      <c r="M59" s="17">
        <v>32842</v>
      </c>
      <c r="N59" s="17">
        <v>35265</v>
      </c>
      <c r="O59" s="17">
        <v>37535</v>
      </c>
      <c r="P59" s="17">
        <v>31842</v>
      </c>
      <c r="Q59" s="17">
        <v>33548</v>
      </c>
      <c r="R59" s="17">
        <v>35076</v>
      </c>
      <c r="S59" s="17">
        <v>36587</v>
      </c>
      <c r="T59" s="17">
        <v>31666</v>
      </c>
      <c r="U59" s="17">
        <v>33070</v>
      </c>
      <c r="V59" s="17">
        <v>6862</v>
      </c>
      <c r="W59" s="17">
        <v>7087</v>
      </c>
      <c r="X59" s="17">
        <v>7314</v>
      </c>
      <c r="Y59" s="17">
        <v>7540</v>
      </c>
      <c r="Z59" s="17">
        <v>7919</v>
      </c>
      <c r="AA59" s="17">
        <v>7919</v>
      </c>
      <c r="AB59" s="17">
        <v>8071</v>
      </c>
      <c r="AC59" s="17">
        <v>8205</v>
      </c>
      <c r="AD59" s="17">
        <v>8511</v>
      </c>
      <c r="AE59" s="17">
        <v>8412</v>
      </c>
      <c r="AF59" s="15"/>
    </row>
    <row r="60" spans="1:32" x14ac:dyDescent="0.25">
      <c r="A60" s="18" t="s">
        <v>57</v>
      </c>
      <c r="B60" s="167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10908</v>
      </c>
      <c r="J60" s="19">
        <v>11236</v>
      </c>
      <c r="K60" s="19">
        <v>11554</v>
      </c>
      <c r="L60" s="19">
        <v>12113</v>
      </c>
      <c r="M60" s="19">
        <v>12913</v>
      </c>
      <c r="N60" s="19">
        <v>13793</v>
      </c>
      <c r="O60" s="19">
        <v>13736</v>
      </c>
      <c r="P60" s="19">
        <v>14260</v>
      </c>
      <c r="Q60" s="19">
        <v>14776</v>
      </c>
      <c r="R60" s="19">
        <v>15284</v>
      </c>
      <c r="S60" s="19">
        <v>15785</v>
      </c>
      <c r="T60" s="19">
        <v>14028</v>
      </c>
      <c r="U60" s="19">
        <v>14264</v>
      </c>
      <c r="V60" s="19">
        <v>14493</v>
      </c>
      <c r="W60" s="19">
        <v>14715</v>
      </c>
      <c r="X60" s="19">
        <v>14931</v>
      </c>
      <c r="Y60" s="19">
        <v>15140</v>
      </c>
      <c r="Z60" s="19">
        <v>16603</v>
      </c>
      <c r="AA60" s="19">
        <v>16603</v>
      </c>
      <c r="AB60" s="19">
        <v>17304</v>
      </c>
      <c r="AC60" s="19">
        <v>17986</v>
      </c>
      <c r="AD60" s="19">
        <v>18647</v>
      </c>
      <c r="AE60" s="19">
        <v>19291</v>
      </c>
      <c r="AF60" s="15"/>
    </row>
    <row r="61" spans="1:32" x14ac:dyDescent="0.25">
      <c r="A61" s="16" t="s">
        <v>58</v>
      </c>
      <c r="B61" s="166">
        <v>165168</v>
      </c>
      <c r="C61" s="17">
        <v>167280</v>
      </c>
      <c r="D61" s="17">
        <v>174165</v>
      </c>
      <c r="E61" s="17">
        <v>175733</v>
      </c>
      <c r="F61" s="17">
        <v>172344</v>
      </c>
      <c r="G61" s="17">
        <v>163195</v>
      </c>
      <c r="H61" s="17">
        <v>168633</v>
      </c>
      <c r="I61" s="17">
        <v>189383</v>
      </c>
      <c r="J61" s="17">
        <v>191048</v>
      </c>
      <c r="K61" s="17">
        <v>188690</v>
      </c>
      <c r="L61" s="17">
        <v>206177</v>
      </c>
      <c r="M61" s="17">
        <v>223711</v>
      </c>
      <c r="N61" s="17">
        <v>222246</v>
      </c>
      <c r="O61" s="17">
        <v>161423</v>
      </c>
      <c r="P61" s="17">
        <v>219998</v>
      </c>
      <c r="Q61" s="17">
        <v>212630</v>
      </c>
      <c r="R61" s="17">
        <v>207345</v>
      </c>
      <c r="S61" s="17">
        <v>214593</v>
      </c>
      <c r="T61" s="17">
        <v>233157</v>
      </c>
      <c r="U61" s="17">
        <v>245636</v>
      </c>
      <c r="V61" s="17">
        <v>249185</v>
      </c>
      <c r="W61" s="17">
        <v>257096</v>
      </c>
      <c r="X61" s="17">
        <v>145596</v>
      </c>
      <c r="Y61" s="17">
        <v>141634</v>
      </c>
      <c r="Z61" s="17">
        <v>148022</v>
      </c>
      <c r="AA61" s="17">
        <v>148022</v>
      </c>
      <c r="AB61" s="17">
        <v>142209</v>
      </c>
      <c r="AC61" s="17">
        <v>145130</v>
      </c>
      <c r="AD61" s="17">
        <v>159328</v>
      </c>
      <c r="AE61" s="17">
        <v>100861</v>
      </c>
      <c r="AF61" s="15"/>
    </row>
    <row r="62" spans="1:32" x14ac:dyDescent="0.25">
      <c r="A62" s="18" t="s">
        <v>59</v>
      </c>
      <c r="B62" s="167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 t="s">
        <v>17</v>
      </c>
      <c r="O62" s="19">
        <v>0</v>
      </c>
      <c r="P62" s="19">
        <v>0</v>
      </c>
      <c r="Q62" s="19">
        <v>0</v>
      </c>
      <c r="R62" s="19">
        <v>0</v>
      </c>
      <c r="S62" s="19">
        <v>2120</v>
      </c>
      <c r="T62" s="19">
        <v>2144</v>
      </c>
      <c r="U62" s="19">
        <v>48018</v>
      </c>
      <c r="V62" s="19">
        <v>47504</v>
      </c>
      <c r="W62" s="19">
        <v>48472</v>
      </c>
      <c r="X62" s="19">
        <v>48480</v>
      </c>
      <c r="Y62" s="19">
        <v>50017</v>
      </c>
      <c r="Z62" s="19">
        <v>53781</v>
      </c>
      <c r="AA62" s="19">
        <v>53781</v>
      </c>
      <c r="AB62" s="19">
        <v>56194</v>
      </c>
      <c r="AC62" s="19">
        <v>62056</v>
      </c>
      <c r="AD62" s="19">
        <v>71615</v>
      </c>
      <c r="AE62" s="19">
        <v>82576</v>
      </c>
      <c r="AF62" s="15"/>
    </row>
    <row r="63" spans="1:32" x14ac:dyDescent="0.25">
      <c r="A63" s="16" t="s">
        <v>49</v>
      </c>
      <c r="B63" s="166">
        <v>146509</v>
      </c>
      <c r="C63" s="17">
        <v>147480</v>
      </c>
      <c r="D63" s="17">
        <v>121695</v>
      </c>
      <c r="E63" s="17">
        <v>131432</v>
      </c>
      <c r="F63" s="17">
        <v>131388</v>
      </c>
      <c r="G63" s="17">
        <v>132505</v>
      </c>
      <c r="H63" s="17">
        <v>133089</v>
      </c>
      <c r="I63" s="17">
        <v>132916</v>
      </c>
      <c r="J63" s="17">
        <v>132913</v>
      </c>
      <c r="K63" s="17">
        <v>132386</v>
      </c>
      <c r="L63" s="17">
        <v>143946</v>
      </c>
      <c r="M63" s="17">
        <v>142055</v>
      </c>
      <c r="N63" s="17">
        <v>137763</v>
      </c>
      <c r="O63" s="17">
        <v>137459</v>
      </c>
      <c r="P63" s="17">
        <v>151766</v>
      </c>
      <c r="Q63" s="17">
        <v>218782</v>
      </c>
      <c r="R63" s="17">
        <v>207487</v>
      </c>
      <c r="S63" s="17">
        <v>212750</v>
      </c>
      <c r="T63" s="17">
        <v>207339</v>
      </c>
      <c r="U63" s="17">
        <v>203169</v>
      </c>
      <c r="V63" s="17">
        <v>203027</v>
      </c>
      <c r="W63" s="17">
        <v>197923</v>
      </c>
      <c r="X63" s="17">
        <v>194602</v>
      </c>
      <c r="Y63" s="17">
        <v>167380</v>
      </c>
      <c r="Z63" s="17">
        <v>164796</v>
      </c>
      <c r="AA63" s="17">
        <v>164796</v>
      </c>
      <c r="AB63" s="17">
        <v>152988</v>
      </c>
      <c r="AC63" s="17">
        <v>150774</v>
      </c>
      <c r="AD63" s="17">
        <v>147618</v>
      </c>
      <c r="AE63" s="17">
        <v>138830</v>
      </c>
      <c r="AF63" s="15"/>
    </row>
    <row r="64" spans="1:32" x14ac:dyDescent="0.25">
      <c r="A64" s="18" t="s">
        <v>51</v>
      </c>
      <c r="B64" s="167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4148</v>
      </c>
      <c r="J64" s="19">
        <v>4770</v>
      </c>
      <c r="K64" s="19">
        <v>5392</v>
      </c>
      <c r="L64" s="19">
        <v>6015</v>
      </c>
      <c r="M64" s="19">
        <v>6637</v>
      </c>
      <c r="N64" s="19">
        <v>7259</v>
      </c>
      <c r="O64" s="19">
        <v>7881</v>
      </c>
      <c r="P64" s="19">
        <v>8503</v>
      </c>
      <c r="Q64" s="19">
        <v>9126</v>
      </c>
      <c r="R64" s="19">
        <v>9748</v>
      </c>
      <c r="S64" s="19" t="s">
        <v>17</v>
      </c>
      <c r="T64" s="19" t="s">
        <v>17</v>
      </c>
      <c r="U64" s="19" t="s">
        <v>17</v>
      </c>
      <c r="V64" s="19" t="s">
        <v>17</v>
      </c>
      <c r="W64" s="19">
        <v>332</v>
      </c>
      <c r="X64" s="19">
        <v>831</v>
      </c>
      <c r="Y64" s="19">
        <v>1329</v>
      </c>
      <c r="Z64" s="19">
        <v>2326</v>
      </c>
      <c r="AA64" s="19">
        <v>2326</v>
      </c>
      <c r="AB64" s="19">
        <v>2825</v>
      </c>
      <c r="AC64" s="19">
        <v>3323</v>
      </c>
      <c r="AD64" s="19">
        <v>3822</v>
      </c>
      <c r="AE64" s="19">
        <v>4322</v>
      </c>
      <c r="AF64" s="15"/>
    </row>
    <row r="65" spans="1:36" x14ac:dyDescent="0.25">
      <c r="A65" s="16" t="s">
        <v>60</v>
      </c>
      <c r="B65" s="166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56711</v>
      </c>
      <c r="J65" s="17">
        <v>56711</v>
      </c>
      <c r="K65" s="17">
        <v>56711</v>
      </c>
      <c r="L65" s="17">
        <v>56711</v>
      </c>
      <c r="M65" s="17">
        <v>0</v>
      </c>
      <c r="N65" s="17" t="s">
        <v>17</v>
      </c>
      <c r="O65" s="17">
        <v>0</v>
      </c>
      <c r="P65" s="17">
        <v>0</v>
      </c>
      <c r="Q65" s="17">
        <v>21389</v>
      </c>
      <c r="R65" s="17">
        <v>21389</v>
      </c>
      <c r="S65" s="17">
        <v>21389</v>
      </c>
      <c r="T65" s="17">
        <v>21388</v>
      </c>
      <c r="U65" s="17">
        <v>37202</v>
      </c>
      <c r="V65" s="17">
        <v>37202</v>
      </c>
      <c r="W65" s="17">
        <v>37202</v>
      </c>
      <c r="X65" s="17">
        <v>37202</v>
      </c>
      <c r="Y65" s="17">
        <v>128881</v>
      </c>
      <c r="Z65" s="17">
        <v>128881</v>
      </c>
      <c r="AA65" s="17">
        <v>128881</v>
      </c>
      <c r="AB65" s="17">
        <v>128881</v>
      </c>
      <c r="AC65" s="17"/>
      <c r="AD65" s="17"/>
      <c r="AE65" s="17"/>
      <c r="AF65" s="15"/>
    </row>
    <row r="66" spans="1:36" x14ac:dyDescent="0.25">
      <c r="A66" s="22" t="s">
        <v>48</v>
      </c>
      <c r="B66" s="167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10147</v>
      </c>
      <c r="J66" s="19">
        <v>10147</v>
      </c>
      <c r="K66" s="19">
        <v>10147</v>
      </c>
      <c r="L66" s="19">
        <v>10147</v>
      </c>
      <c r="M66" s="19">
        <v>10147</v>
      </c>
      <c r="N66" s="19">
        <v>10147</v>
      </c>
      <c r="O66" s="19">
        <v>10147</v>
      </c>
      <c r="P66" s="19">
        <v>10147</v>
      </c>
      <c r="Q66" s="19">
        <v>10146</v>
      </c>
      <c r="R66" s="19">
        <v>10146</v>
      </c>
      <c r="S66" s="19" t="s">
        <v>17</v>
      </c>
      <c r="T66" s="19" t="s">
        <v>17</v>
      </c>
      <c r="U66" s="19" t="s">
        <v>17</v>
      </c>
      <c r="V66" s="19" t="s">
        <v>17</v>
      </c>
      <c r="W66" s="19" t="s">
        <v>17</v>
      </c>
      <c r="X66" s="19" t="s">
        <v>17</v>
      </c>
      <c r="Y66" s="19"/>
      <c r="Z66" s="19"/>
      <c r="AA66" s="19"/>
      <c r="AB66" s="19" t="s">
        <v>17</v>
      </c>
      <c r="AC66" s="19"/>
      <c r="AD66" s="19"/>
      <c r="AE66" s="19"/>
      <c r="AF66" s="15"/>
    </row>
    <row r="67" spans="1:36" x14ac:dyDescent="0.25">
      <c r="A67" s="16" t="s">
        <v>29</v>
      </c>
      <c r="B67" s="166">
        <v>1670656</v>
      </c>
      <c r="C67" s="17">
        <v>1682481</v>
      </c>
      <c r="D67" s="17">
        <v>1696127</v>
      </c>
      <c r="E67" s="17">
        <v>1671475</v>
      </c>
      <c r="F67" s="17">
        <v>1676062</v>
      </c>
      <c r="G67" s="17">
        <v>1685276</v>
      </c>
      <c r="H67" s="17">
        <v>1696384</v>
      </c>
      <c r="I67" s="17">
        <v>1678942</v>
      </c>
      <c r="J67" s="17">
        <v>1671665</v>
      </c>
      <c r="K67" s="17">
        <v>1661135</v>
      </c>
      <c r="L67" s="17">
        <v>1651682</v>
      </c>
      <c r="M67" s="17">
        <v>1603151</v>
      </c>
      <c r="N67" s="17">
        <v>1544306</v>
      </c>
      <c r="O67" s="17">
        <v>1479533</v>
      </c>
      <c r="P67" s="17">
        <v>1425230</v>
      </c>
      <c r="Q67" s="17">
        <v>1345686</v>
      </c>
      <c r="R67" s="17">
        <v>1255830</v>
      </c>
      <c r="S67" s="17">
        <v>1176404</v>
      </c>
      <c r="T67" s="17">
        <v>1111322</v>
      </c>
      <c r="U67" s="17">
        <v>1002737</v>
      </c>
      <c r="V67" s="17">
        <v>917072</v>
      </c>
      <c r="W67" s="17">
        <v>866656</v>
      </c>
      <c r="X67" s="17">
        <v>839500</v>
      </c>
      <c r="Y67" s="17">
        <v>773502</v>
      </c>
      <c r="Z67" s="17">
        <v>704365</v>
      </c>
      <c r="AA67" s="17">
        <v>704365</v>
      </c>
      <c r="AB67" s="17">
        <v>677280</v>
      </c>
      <c r="AC67" s="17">
        <v>626819</v>
      </c>
      <c r="AD67" s="17">
        <v>579785</v>
      </c>
      <c r="AE67" s="17">
        <v>531950</v>
      </c>
      <c r="AF67" s="15"/>
    </row>
    <row r="68" spans="1:36" x14ac:dyDescent="0.25">
      <c r="A68" s="120" t="s">
        <v>247</v>
      </c>
      <c r="B68" s="169">
        <v>82253</v>
      </c>
      <c r="C68" s="46">
        <v>70272</v>
      </c>
      <c r="D68" s="46">
        <v>69304</v>
      </c>
      <c r="E68" s="46">
        <v>63985</v>
      </c>
      <c r="F68" s="46">
        <v>48356</v>
      </c>
      <c r="G68" s="46">
        <v>37917</v>
      </c>
      <c r="H68" s="46">
        <v>45556</v>
      </c>
      <c r="I68" s="46">
        <v>5356</v>
      </c>
      <c r="J68" s="46">
        <v>9197</v>
      </c>
      <c r="K68" s="46">
        <v>0</v>
      </c>
      <c r="L68" s="46">
        <v>0</v>
      </c>
      <c r="M68" s="46">
        <v>0</v>
      </c>
      <c r="N68" s="46">
        <v>3426</v>
      </c>
      <c r="O68" s="46">
        <v>11686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/>
      <c r="Z68" s="46"/>
      <c r="AA68" s="46"/>
      <c r="AB68" s="46">
        <v>0</v>
      </c>
      <c r="AC68" s="46"/>
      <c r="AD68" s="46">
        <v>17167</v>
      </c>
      <c r="AE68" s="46"/>
      <c r="AF68" s="24"/>
      <c r="AG68"/>
      <c r="AH68"/>
      <c r="AI68"/>
      <c r="AJ68"/>
    </row>
    <row r="69" spans="1:36" x14ac:dyDescent="0.25">
      <c r="A69" s="16" t="s">
        <v>267</v>
      </c>
      <c r="B69" s="166">
        <v>0</v>
      </c>
      <c r="C69" s="17">
        <v>415</v>
      </c>
      <c r="D69" s="17">
        <v>1037</v>
      </c>
      <c r="E69" s="17">
        <v>11806</v>
      </c>
      <c r="F69" s="17">
        <v>12428</v>
      </c>
      <c r="G69" s="17">
        <v>13050</v>
      </c>
      <c r="H69" s="17">
        <v>13673</v>
      </c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24"/>
      <c r="AG69"/>
      <c r="AH69"/>
      <c r="AI69"/>
      <c r="AJ69"/>
    </row>
    <row r="70" spans="1:36" s="1" customFormat="1" x14ac:dyDescent="0.25">
      <c r="A70" s="20" t="s">
        <v>61</v>
      </c>
      <c r="B70" s="168">
        <f t="shared" ref="B70" si="48">SUM(B71:B76)</f>
        <v>5299573</v>
      </c>
      <c r="C70" s="21">
        <f t="shared" ref="C70:E70" si="49">SUM(C71:C76)</f>
        <v>5167316</v>
      </c>
      <c r="D70" s="21">
        <f t="shared" si="49"/>
        <v>5107065</v>
      </c>
      <c r="E70" s="21">
        <f t="shared" si="49"/>
        <v>4944081</v>
      </c>
      <c r="F70" s="21">
        <f t="shared" ref="F70:L70" si="50">SUM(F71:F76)</f>
        <v>4801325</v>
      </c>
      <c r="G70" s="21">
        <f t="shared" si="50"/>
        <v>4687285</v>
      </c>
      <c r="H70" s="21">
        <f t="shared" si="50"/>
        <v>4596363.7</v>
      </c>
      <c r="I70" s="21">
        <f t="shared" si="50"/>
        <v>4430260</v>
      </c>
      <c r="J70" s="21">
        <f t="shared" si="50"/>
        <v>4298027</v>
      </c>
      <c r="K70" s="21">
        <f t="shared" si="50"/>
        <v>4185409</v>
      </c>
      <c r="L70" s="21">
        <f t="shared" si="50"/>
        <v>4084944</v>
      </c>
      <c r="M70" s="21">
        <f t="shared" ref="M70" si="51">SUM(M71:M76)</f>
        <v>3986995</v>
      </c>
      <c r="N70" s="21">
        <f>SUM(N71:N76)</f>
        <v>3854515</v>
      </c>
      <c r="O70" s="21">
        <f>SUM(O71:O76)</f>
        <v>3776111</v>
      </c>
      <c r="P70" s="21">
        <f>SUM(P71:P76)</f>
        <v>3677183</v>
      </c>
      <c r="Q70" s="21">
        <f>SUM(Q71:Q76)</f>
        <v>3576413</v>
      </c>
      <c r="R70" s="21">
        <f>SUM(R71:R76)</f>
        <v>3470756</v>
      </c>
      <c r="S70" s="21">
        <f t="shared" ref="S70:AB70" si="52">SUM(S71:S75)</f>
        <v>3374548</v>
      </c>
      <c r="T70" s="21">
        <f t="shared" ref="T70" si="53">SUM(T71:T75)</f>
        <v>3356818</v>
      </c>
      <c r="U70" s="21">
        <f t="shared" si="52"/>
        <v>3267113</v>
      </c>
      <c r="V70" s="21">
        <f t="shared" si="52"/>
        <v>3172030</v>
      </c>
      <c r="W70" s="21">
        <f t="shared" si="52"/>
        <v>3087483</v>
      </c>
      <c r="X70" s="21">
        <f t="shared" si="52"/>
        <v>3077632</v>
      </c>
      <c r="Y70" s="21">
        <f t="shared" si="52"/>
        <v>3062487</v>
      </c>
      <c r="Z70" s="21">
        <f t="shared" si="52"/>
        <v>2859850</v>
      </c>
      <c r="AA70" s="21">
        <f t="shared" si="52"/>
        <v>2859850</v>
      </c>
      <c r="AB70" s="21">
        <f t="shared" si="52"/>
        <v>2760660</v>
      </c>
      <c r="AC70" s="21">
        <f t="shared" ref="AC70:AE70" si="54">SUM(AC71:AC75)</f>
        <v>2722885</v>
      </c>
      <c r="AD70" s="21">
        <f>SUM(AD71:AD76)</f>
        <v>2717559</v>
      </c>
      <c r="AE70" s="21">
        <f t="shared" si="54"/>
        <v>2687805</v>
      </c>
      <c r="AF70" s="15"/>
    </row>
    <row r="71" spans="1:36" x14ac:dyDescent="0.25">
      <c r="A71" s="16" t="s">
        <v>62</v>
      </c>
      <c r="B71" s="166">
        <v>2515546</v>
      </c>
      <c r="C71" s="17">
        <v>2515546</v>
      </c>
      <c r="D71" s="17">
        <v>2515546</v>
      </c>
      <c r="E71" s="17">
        <v>2515546</v>
      </c>
      <c r="F71" s="17">
        <v>2515546</v>
      </c>
      <c r="G71" s="17">
        <v>2515546</v>
      </c>
      <c r="H71" s="17">
        <v>2515546</v>
      </c>
      <c r="I71" s="17">
        <v>2515546</v>
      </c>
      <c r="J71" s="17">
        <v>2515546</v>
      </c>
      <c r="K71" s="17">
        <v>2515546</v>
      </c>
      <c r="L71" s="17">
        <v>2515546</v>
      </c>
      <c r="M71" s="17">
        <v>2515546</v>
      </c>
      <c r="N71" s="17">
        <v>2515546</v>
      </c>
      <c r="O71" s="17">
        <v>2515546</v>
      </c>
      <c r="P71" s="17">
        <v>2515546</v>
      </c>
      <c r="Q71" s="17">
        <v>2515546</v>
      </c>
      <c r="R71" s="17">
        <v>2515546</v>
      </c>
      <c r="S71" s="17">
        <v>2515546</v>
      </c>
      <c r="T71" s="17">
        <v>2515546</v>
      </c>
      <c r="U71" s="17">
        <v>2515546</v>
      </c>
      <c r="V71" s="17">
        <v>2515546</v>
      </c>
      <c r="W71" s="17">
        <v>2515546</v>
      </c>
      <c r="X71" s="17">
        <v>2515546</v>
      </c>
      <c r="Y71" s="17">
        <v>2515546</v>
      </c>
      <c r="Z71" s="17">
        <v>2515546</v>
      </c>
      <c r="AA71" s="17">
        <v>2515546</v>
      </c>
      <c r="AB71" s="17">
        <v>2515546</v>
      </c>
      <c r="AC71" s="17">
        <v>2515546</v>
      </c>
      <c r="AD71" s="17">
        <v>2515546</v>
      </c>
      <c r="AE71" s="17">
        <v>2515546</v>
      </c>
      <c r="AF71" s="15"/>
    </row>
    <row r="72" spans="1:36" x14ac:dyDescent="0.25">
      <c r="A72" s="18" t="s">
        <v>63</v>
      </c>
      <c r="B72" s="167">
        <v>172304</v>
      </c>
      <c r="C72" s="19">
        <v>172304</v>
      </c>
      <c r="D72" s="19">
        <v>172304</v>
      </c>
      <c r="E72" s="19">
        <v>138815</v>
      </c>
      <c r="F72" s="19">
        <v>138815</v>
      </c>
      <c r="G72" s="19">
        <v>138815</v>
      </c>
      <c r="H72" s="19">
        <v>138814.70000000001</v>
      </c>
      <c r="I72" s="19">
        <v>107735</v>
      </c>
      <c r="J72" s="19">
        <v>107735</v>
      </c>
      <c r="K72" s="19">
        <v>107735</v>
      </c>
      <c r="L72" s="19">
        <v>107735</v>
      </c>
      <c r="M72" s="19">
        <v>78543</v>
      </c>
      <c r="N72" s="19">
        <v>78543</v>
      </c>
      <c r="O72" s="19">
        <v>78543</v>
      </c>
      <c r="P72" s="19">
        <v>78543</v>
      </c>
      <c r="Q72" s="19">
        <v>58460</v>
      </c>
      <c r="R72" s="19">
        <v>58460</v>
      </c>
      <c r="S72" s="19">
        <v>58460</v>
      </c>
      <c r="T72" s="19">
        <v>58460</v>
      </c>
      <c r="U72" s="19">
        <v>40837</v>
      </c>
      <c r="V72" s="19">
        <v>40837</v>
      </c>
      <c r="W72" s="19">
        <v>40837</v>
      </c>
      <c r="X72" s="19">
        <v>40837</v>
      </c>
      <c r="Y72" s="19">
        <v>26053</v>
      </c>
      <c r="Z72" s="19">
        <v>26053</v>
      </c>
      <c r="AA72" s="19">
        <v>26053</v>
      </c>
      <c r="AB72" s="19">
        <v>24020</v>
      </c>
      <c r="AC72" s="19">
        <v>10266</v>
      </c>
      <c r="AD72" s="19">
        <v>140413</v>
      </c>
      <c r="AE72" s="19">
        <v>10266</v>
      </c>
      <c r="AF72" s="15"/>
    </row>
    <row r="73" spans="1:36" x14ac:dyDescent="0.25">
      <c r="A73" s="16" t="s">
        <v>64</v>
      </c>
      <c r="B73" s="166">
        <v>2385953</v>
      </c>
      <c r="C73" s="17">
        <v>2385953</v>
      </c>
      <c r="D73" s="17">
        <v>2385953</v>
      </c>
      <c r="E73" s="17">
        <v>1908740</v>
      </c>
      <c r="F73" s="17">
        <v>1908740</v>
      </c>
      <c r="G73" s="17">
        <v>1908740</v>
      </c>
      <c r="H73" s="17">
        <v>1908740</v>
      </c>
      <c r="I73" s="17">
        <v>1465781</v>
      </c>
      <c r="J73" s="17">
        <v>1465781</v>
      </c>
      <c r="K73" s="17">
        <v>1465781</v>
      </c>
      <c r="L73" s="17">
        <v>1465781</v>
      </c>
      <c r="M73" s="17">
        <v>1049781</v>
      </c>
      <c r="N73" s="17">
        <v>1049781</v>
      </c>
      <c r="O73" s="17">
        <v>1049781</v>
      </c>
      <c r="P73" s="17">
        <v>1049781</v>
      </c>
      <c r="Q73" s="17">
        <v>763613</v>
      </c>
      <c r="R73" s="17">
        <v>763613</v>
      </c>
      <c r="S73" s="17">
        <v>781344</v>
      </c>
      <c r="T73" s="17">
        <v>763613</v>
      </c>
      <c r="U73" s="17">
        <v>701968</v>
      </c>
      <c r="V73" s="17">
        <v>606886</v>
      </c>
      <c r="W73" s="17">
        <v>522338</v>
      </c>
      <c r="X73" s="17">
        <v>512487</v>
      </c>
      <c r="Y73" s="17">
        <v>572633</v>
      </c>
      <c r="Z73" s="17">
        <v>369994</v>
      </c>
      <c r="AA73" s="17">
        <v>369994</v>
      </c>
      <c r="AB73" s="17">
        <v>272836</v>
      </c>
      <c r="AC73" s="17">
        <v>163752</v>
      </c>
      <c r="AD73" s="17">
        <v>4196</v>
      </c>
      <c r="AE73" s="17">
        <v>128665</v>
      </c>
      <c r="AF73" s="15"/>
    </row>
    <row r="74" spans="1:36" x14ac:dyDescent="0.25">
      <c r="A74" s="18" t="s">
        <v>65</v>
      </c>
      <c r="B74" s="167">
        <v>33261</v>
      </c>
      <c r="C74" s="19">
        <v>33261</v>
      </c>
      <c r="D74" s="19">
        <v>33262</v>
      </c>
      <c r="E74" s="19">
        <v>33262</v>
      </c>
      <c r="F74" s="19">
        <v>33262</v>
      </c>
      <c r="G74" s="19">
        <v>33263</v>
      </c>
      <c r="H74" s="19">
        <v>33263</v>
      </c>
      <c r="I74" s="19">
        <v>33263</v>
      </c>
      <c r="J74" s="19">
        <v>33310</v>
      </c>
      <c r="K74" s="19">
        <v>33311</v>
      </c>
      <c r="L74" s="19">
        <v>33311</v>
      </c>
      <c r="M74" s="19">
        <v>33312</v>
      </c>
      <c r="N74" s="19">
        <v>33312</v>
      </c>
      <c r="O74" s="19">
        <v>33313</v>
      </c>
      <c r="P74" s="19">
        <v>33313</v>
      </c>
      <c r="Q74" s="19">
        <v>33314</v>
      </c>
      <c r="R74" s="19">
        <v>33314</v>
      </c>
      <c r="S74" s="19">
        <v>33314</v>
      </c>
      <c r="T74" s="19">
        <v>33315</v>
      </c>
      <c r="U74" s="19">
        <v>33315</v>
      </c>
      <c r="V74" s="19">
        <v>33314</v>
      </c>
      <c r="W74" s="19">
        <v>33315</v>
      </c>
      <c r="X74" s="19">
        <v>33315</v>
      </c>
      <c r="Y74" s="19">
        <v>33316</v>
      </c>
      <c r="Z74" s="19">
        <v>33318</v>
      </c>
      <c r="AA74" s="19">
        <v>33318</v>
      </c>
      <c r="AB74" s="19">
        <v>33319</v>
      </c>
      <c r="AC74" s="19">
        <v>33321</v>
      </c>
      <c r="AD74" s="19">
        <v>33324</v>
      </c>
      <c r="AE74" s="19">
        <v>33328</v>
      </c>
      <c r="AF74" s="15"/>
    </row>
    <row r="75" spans="1:36" x14ac:dyDescent="0.25">
      <c r="A75" s="16" t="s">
        <v>66</v>
      </c>
      <c r="B75" s="166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-37429</v>
      </c>
      <c r="J75" s="17">
        <v>-37429</v>
      </c>
      <c r="K75" s="17">
        <v>-37429</v>
      </c>
      <c r="L75" s="17">
        <v>-37429</v>
      </c>
      <c r="M75" s="17">
        <v>0</v>
      </c>
      <c r="N75" s="17" t="s">
        <v>17</v>
      </c>
      <c r="O75" s="17">
        <v>0</v>
      </c>
      <c r="P75" s="17">
        <v>0</v>
      </c>
      <c r="Q75" s="17">
        <v>-14116</v>
      </c>
      <c r="R75" s="17">
        <v>-14116</v>
      </c>
      <c r="S75" s="17">
        <v>-14116</v>
      </c>
      <c r="T75" s="17">
        <v>-14116</v>
      </c>
      <c r="U75" s="17">
        <v>-24553</v>
      </c>
      <c r="V75" s="17">
        <v>-24553</v>
      </c>
      <c r="W75" s="17">
        <v>-24553</v>
      </c>
      <c r="X75" s="17">
        <v>-24553</v>
      </c>
      <c r="Y75" s="17">
        <v>-85061</v>
      </c>
      <c r="Z75" s="17">
        <v>-85061</v>
      </c>
      <c r="AA75" s="17">
        <v>-85061</v>
      </c>
      <c r="AB75" s="17">
        <v>-85061</v>
      </c>
      <c r="AC75" s="17"/>
      <c r="AD75" s="17"/>
      <c r="AE75" s="17"/>
      <c r="AF75" s="15"/>
    </row>
    <row r="76" spans="1:36" x14ac:dyDescent="0.25">
      <c r="A76" s="18" t="s">
        <v>67</v>
      </c>
      <c r="B76" s="167">
        <v>192509</v>
      </c>
      <c r="C76" s="19">
        <v>60252</v>
      </c>
      <c r="D76" s="19">
        <v>0</v>
      </c>
      <c r="E76" s="19">
        <v>347718</v>
      </c>
      <c r="F76" s="19">
        <v>204962</v>
      </c>
      <c r="G76" s="19">
        <v>90921</v>
      </c>
      <c r="H76" s="19">
        <v>0</v>
      </c>
      <c r="I76" s="19">
        <v>345364</v>
      </c>
      <c r="J76" s="19">
        <v>213084</v>
      </c>
      <c r="K76" s="19">
        <v>100465</v>
      </c>
      <c r="L76" s="19">
        <v>0</v>
      </c>
      <c r="M76" s="19">
        <v>309813</v>
      </c>
      <c r="N76" s="19">
        <v>177333</v>
      </c>
      <c r="O76" s="19">
        <v>98928</v>
      </c>
      <c r="P76" s="19">
        <v>0</v>
      </c>
      <c r="Q76" s="19">
        <v>219596</v>
      </c>
      <c r="R76" s="19">
        <v>113939</v>
      </c>
      <c r="S76" s="19" t="s">
        <v>17</v>
      </c>
      <c r="T76" s="19" t="s">
        <v>17</v>
      </c>
      <c r="U76" s="19" t="s">
        <v>17</v>
      </c>
      <c r="V76" s="19" t="s">
        <v>17</v>
      </c>
      <c r="W76" s="19">
        <v>0</v>
      </c>
      <c r="X76" s="19">
        <v>0</v>
      </c>
      <c r="Y76" s="19"/>
      <c r="Z76" s="19"/>
      <c r="AA76" s="19"/>
      <c r="AB76" s="19" t="s">
        <v>17</v>
      </c>
      <c r="AC76" s="19"/>
      <c r="AD76" s="19">
        <v>24080</v>
      </c>
      <c r="AE76" s="19"/>
      <c r="AF76" s="15"/>
    </row>
    <row r="77" spans="1:36" x14ac:dyDescent="0.25">
      <c r="A77" s="23" t="s">
        <v>68</v>
      </c>
      <c r="B77" s="168">
        <f t="shared" ref="B77" si="55">SUM(B54+B70+B38)</f>
        <v>9743568</v>
      </c>
      <c r="C77" s="21">
        <f t="shared" ref="C77:E77" si="56">SUM(C54+C70+C38)</f>
        <v>9755342</v>
      </c>
      <c r="D77" s="21">
        <f t="shared" si="56"/>
        <v>9428976</v>
      </c>
      <c r="E77" s="21">
        <f t="shared" si="56"/>
        <v>9216094</v>
      </c>
      <c r="F77" s="21">
        <f t="shared" ref="F77:G77" si="57">SUM(F54+F70+F38)</f>
        <v>9034449</v>
      </c>
      <c r="G77" s="21">
        <f t="shared" si="57"/>
        <v>8591325</v>
      </c>
      <c r="H77" s="21">
        <f t="shared" ref="H77:I77" si="58">SUM(H54+H70+H38)</f>
        <v>8574154.6999999993</v>
      </c>
      <c r="I77" s="21">
        <f t="shared" si="58"/>
        <v>8499189</v>
      </c>
      <c r="J77" s="21">
        <f t="shared" ref="J77:K77" si="59">SUM(J54+J70+J38)</f>
        <v>8063340</v>
      </c>
      <c r="K77" s="21">
        <f t="shared" si="59"/>
        <v>8102264</v>
      </c>
      <c r="L77" s="21">
        <f t="shared" ref="L77:M77" si="60">SUM(L54+L70+L38)</f>
        <v>8036981</v>
      </c>
      <c r="M77" s="21">
        <f t="shared" si="60"/>
        <v>7866752</v>
      </c>
      <c r="N77" s="21">
        <f t="shared" ref="N77:AB77" si="61">SUM(N54+N70+N38)</f>
        <v>7327543</v>
      </c>
      <c r="O77" s="21">
        <f t="shared" si="61"/>
        <v>7240739</v>
      </c>
      <c r="P77" s="21">
        <f t="shared" si="61"/>
        <v>7176346</v>
      </c>
      <c r="Q77" s="21">
        <f t="shared" si="61"/>
        <v>7032782</v>
      </c>
      <c r="R77" s="21">
        <f t="shared" si="61"/>
        <v>6574386</v>
      </c>
      <c r="S77" s="21">
        <f t="shared" si="61"/>
        <v>6392943</v>
      </c>
      <c r="T77" s="21">
        <f t="shared" ref="T77" si="62">SUM(T54+T70+T38)</f>
        <v>6302329</v>
      </c>
      <c r="U77" s="21">
        <f t="shared" si="61"/>
        <v>6313354</v>
      </c>
      <c r="V77" s="21">
        <f t="shared" si="61"/>
        <v>5900725</v>
      </c>
      <c r="W77" s="21">
        <f t="shared" si="61"/>
        <v>5874230</v>
      </c>
      <c r="X77" s="21">
        <f t="shared" si="61"/>
        <v>5779038</v>
      </c>
      <c r="Y77" s="21">
        <f t="shared" si="61"/>
        <v>5832021</v>
      </c>
      <c r="Z77" s="21">
        <f t="shared" si="61"/>
        <v>5540247</v>
      </c>
      <c r="AA77" s="21">
        <f t="shared" si="61"/>
        <v>5540247</v>
      </c>
      <c r="AB77" s="21">
        <f t="shared" si="61"/>
        <v>5431664</v>
      </c>
      <c r="AC77" s="21">
        <f t="shared" ref="AC77:AE77" si="63">SUM(AC54+AC70+AC38)</f>
        <v>5169566</v>
      </c>
      <c r="AD77" s="21">
        <f t="shared" si="63"/>
        <v>5053599</v>
      </c>
      <c r="AE77" s="21">
        <f t="shared" si="63"/>
        <v>4943195</v>
      </c>
    </row>
    <row r="78" spans="1:36" x14ac:dyDescent="0.25">
      <c r="L78"/>
      <c r="P78"/>
      <c r="T78"/>
      <c r="X78"/>
      <c r="AB78"/>
    </row>
    <row r="79" spans="1:36" x14ac:dyDescent="0.25">
      <c r="L79"/>
      <c r="P79"/>
      <c r="T79"/>
      <c r="X79"/>
      <c r="AB79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08080"/>
  </sheetPr>
  <dimension ref="A1:AI44"/>
  <sheetViews>
    <sheetView showGridLines="0"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8.7109375" defaultRowHeight="15" x14ac:dyDescent="0.25"/>
  <cols>
    <col min="1" max="1" width="61.7109375" customWidth="1"/>
    <col min="2" max="2" width="13.140625" customWidth="1"/>
    <col min="3" max="3" width="10.42578125" bestFit="1" customWidth="1"/>
    <col min="4" max="4" width="14" customWidth="1"/>
    <col min="5" max="5" width="12.85546875" customWidth="1"/>
    <col min="6" max="6" width="11.5703125" customWidth="1"/>
    <col min="7" max="13" width="12.42578125" customWidth="1"/>
    <col min="14" max="14" width="11.28515625" customWidth="1"/>
    <col min="15" max="15" width="9.7109375" bestFit="1" customWidth="1"/>
    <col min="16" max="16" width="11.28515625" customWidth="1"/>
    <col min="17" max="17" width="11.28515625" bestFit="1" customWidth="1"/>
    <col min="18" max="19" width="9.7109375" bestFit="1" customWidth="1"/>
    <col min="20" max="20" width="11.28515625" customWidth="1"/>
    <col min="21" max="21" width="11.28515625" bestFit="1" customWidth="1"/>
    <col min="22" max="23" width="9.7109375" bestFit="1" customWidth="1"/>
    <col min="24" max="24" width="11.28515625" bestFit="1" customWidth="1"/>
    <col min="25" max="25" width="12.140625" bestFit="1" customWidth="1"/>
    <col min="26" max="27" width="11.140625" bestFit="1" customWidth="1"/>
    <col min="28" max="29" width="11.28515625" bestFit="1" customWidth="1"/>
    <col min="30" max="30" width="11.140625" bestFit="1" customWidth="1"/>
    <col min="31" max="31" width="9.7109375" bestFit="1" customWidth="1"/>
    <col min="32" max="32" width="35.42578125" customWidth="1"/>
    <col min="33" max="33" width="16.140625" customWidth="1"/>
    <col min="34" max="34" width="13.28515625" customWidth="1"/>
    <col min="1040" max="1042" width="11.5703125" customWidth="1"/>
  </cols>
  <sheetData>
    <row r="1" spans="1:34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4" ht="18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4" ht="18" customHeight="1" x14ac:dyDescent="0.25">
      <c r="A3" s="1"/>
      <c r="B3" s="1"/>
      <c r="C3" s="1"/>
      <c r="D3" s="1"/>
      <c r="E3" s="1"/>
      <c r="F3" s="1"/>
      <c r="G3" s="37"/>
      <c r="H3" s="37"/>
      <c r="I3" s="37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4" ht="48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7"/>
      <c r="R4" s="7"/>
      <c r="S4" s="7"/>
      <c r="T4" s="7"/>
      <c r="U4" s="7"/>
      <c r="V4" s="7"/>
      <c r="W4" s="7"/>
      <c r="X4" s="1"/>
      <c r="Y4" s="7"/>
      <c r="Z4" s="7"/>
      <c r="AA4" s="7"/>
      <c r="AB4" s="7"/>
      <c r="AC4" s="7"/>
      <c r="AD4" s="7"/>
      <c r="AE4" s="7"/>
    </row>
    <row r="5" spans="1:34" ht="15.75" customHeight="1" x14ac:dyDescent="0.25">
      <c r="A5" s="1"/>
      <c r="B5" s="1"/>
      <c r="C5" s="1"/>
      <c r="D5" s="1"/>
      <c r="E5" s="1"/>
      <c r="F5" s="37"/>
      <c r="G5" s="1"/>
      <c r="H5" s="1"/>
      <c r="I5" s="1"/>
      <c r="J5" s="1"/>
      <c r="K5" s="1"/>
      <c r="L5" s="1"/>
      <c r="M5" s="1"/>
      <c r="N5" s="1"/>
      <c r="O5" s="1"/>
      <c r="P5" s="1"/>
      <c r="Q5" s="8"/>
      <c r="R5" s="8"/>
      <c r="S5" s="8"/>
      <c r="T5" s="8"/>
      <c r="U5" s="8"/>
      <c r="V5" s="8"/>
      <c r="W5" s="8"/>
      <c r="X5" s="1"/>
      <c r="Y5" s="8"/>
      <c r="Z5" s="8"/>
      <c r="AA5" s="8"/>
      <c r="AB5" s="8"/>
      <c r="AC5" s="8"/>
      <c r="AD5" s="8"/>
      <c r="AE5" s="8"/>
    </row>
    <row r="6" spans="1:34" ht="15.75" customHeight="1" x14ac:dyDescent="0.25">
      <c r="A6" s="9" t="s">
        <v>69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15.75" customHeight="1" x14ac:dyDescent="0.25">
      <c r="A7" s="8" t="s">
        <v>2</v>
      </c>
      <c r="B7" s="10" t="s">
        <v>278</v>
      </c>
      <c r="C7" s="10" t="s">
        <v>275</v>
      </c>
      <c r="D7" s="10" t="s">
        <v>274</v>
      </c>
      <c r="E7" s="10" t="s">
        <v>270</v>
      </c>
      <c r="F7" s="10" t="s">
        <v>269</v>
      </c>
      <c r="G7" s="10" t="s">
        <v>265</v>
      </c>
      <c r="H7" s="10" t="s">
        <v>263</v>
      </c>
      <c r="I7" s="10" t="s">
        <v>262</v>
      </c>
      <c r="J7" s="10" t="s">
        <v>260</v>
      </c>
      <c r="K7" s="10" t="s">
        <v>257</v>
      </c>
      <c r="L7" s="10" t="s">
        <v>255</v>
      </c>
      <c r="M7" s="10" t="s">
        <v>254</v>
      </c>
      <c r="N7" s="10" t="s">
        <v>250</v>
      </c>
      <c r="O7" s="10" t="s">
        <v>246</v>
      </c>
      <c r="P7" s="10" t="s">
        <v>3</v>
      </c>
      <c r="Q7" s="10" t="s">
        <v>4</v>
      </c>
      <c r="R7" s="10" t="s">
        <v>5</v>
      </c>
      <c r="S7" s="10" t="s">
        <v>6</v>
      </c>
      <c r="T7" s="10" t="s">
        <v>7</v>
      </c>
      <c r="U7" s="10" t="s">
        <v>8</v>
      </c>
      <c r="V7" s="10" t="s">
        <v>9</v>
      </c>
      <c r="W7" s="10" t="s">
        <v>10</v>
      </c>
      <c r="X7" s="10" t="s">
        <v>11</v>
      </c>
      <c r="Y7" s="10" t="s">
        <v>194</v>
      </c>
      <c r="Z7" s="10" t="s">
        <v>195</v>
      </c>
      <c r="AA7" s="10" t="s">
        <v>196</v>
      </c>
      <c r="AB7" s="10" t="s">
        <v>12</v>
      </c>
      <c r="AC7" s="10" t="s">
        <v>197</v>
      </c>
      <c r="AD7" s="10" t="s">
        <v>198</v>
      </c>
      <c r="AE7" s="10" t="s">
        <v>199</v>
      </c>
      <c r="AF7" s="1"/>
      <c r="AG7" s="1"/>
      <c r="AH7" s="1"/>
    </row>
    <row r="8" spans="1:34" s="106" customFormat="1" ht="13.5" customHeight="1" thickBot="1" x14ac:dyDescent="0.3">
      <c r="A8" s="102" t="s">
        <v>70</v>
      </c>
      <c r="B8" s="103">
        <f>B20+B21+B22+B23</f>
        <v>1799282</v>
      </c>
      <c r="C8" s="103">
        <v>847035</v>
      </c>
      <c r="D8" s="103">
        <v>3552024</v>
      </c>
      <c r="E8" s="103">
        <v>2626416</v>
      </c>
      <c r="F8" s="103">
        <v>1694305</v>
      </c>
      <c r="G8" s="103">
        <v>819474</v>
      </c>
      <c r="H8" s="103">
        <v>3305045</v>
      </c>
      <c r="I8" s="103">
        <v>2476776</v>
      </c>
      <c r="J8" s="103">
        <v>1588662</v>
      </c>
      <c r="K8" s="103">
        <v>765705</v>
      </c>
      <c r="L8" s="103">
        <f>3067873629.52/1000</f>
        <v>3067873.62952</v>
      </c>
      <c r="M8" s="103">
        <f>2241661956.82/1000</f>
        <v>2241661.95682</v>
      </c>
      <c r="N8" s="103">
        <v>1429486.78776</v>
      </c>
      <c r="O8" s="103">
        <v>668669</v>
      </c>
      <c r="P8" s="103">
        <v>2762876.0902900002</v>
      </c>
      <c r="Q8" s="103">
        <v>2043484.83589</v>
      </c>
      <c r="R8" s="103">
        <v>682381</v>
      </c>
      <c r="S8" s="103">
        <v>636179</v>
      </c>
      <c r="T8" s="103">
        <v>2453944.4997200002</v>
      </c>
      <c r="U8" s="103">
        <v>1817024.8792000001</v>
      </c>
      <c r="V8" s="103">
        <v>601610</v>
      </c>
      <c r="W8" s="103">
        <v>569331.21511999995</v>
      </c>
      <c r="X8" s="103">
        <v>2371762.9813299999</v>
      </c>
      <c r="Y8" s="103">
        <f>1752900178.25/1000</f>
        <v>1752900.1782500001</v>
      </c>
      <c r="Z8" s="103">
        <f>1121829215.59/1000</f>
        <v>1121829.2155899999</v>
      </c>
      <c r="AA8" s="103">
        <f>570329143.85/1000</f>
        <v>570329.14384999999</v>
      </c>
      <c r="AB8" s="103">
        <v>2246582.4733000002</v>
      </c>
      <c r="AC8" s="103">
        <f>1674833151.04/1000</f>
        <v>1674833.1510399999</v>
      </c>
      <c r="AD8" s="103">
        <f>1049815570.94/1000</f>
        <v>1049815.57094</v>
      </c>
      <c r="AE8" s="103">
        <v>514215</v>
      </c>
      <c r="AF8" s="104"/>
      <c r="AG8" s="105"/>
      <c r="AH8" s="105"/>
    </row>
    <row r="9" spans="1:34" ht="13.5" customHeight="1" thickBot="1" x14ac:dyDescent="0.3">
      <c r="A9" s="26" t="s">
        <v>71</v>
      </c>
      <c r="B9" s="27">
        <v>733411</v>
      </c>
      <c r="C9" s="27">
        <v>369730</v>
      </c>
      <c r="D9" s="27">
        <v>1394105</v>
      </c>
      <c r="E9" s="27">
        <v>1028171</v>
      </c>
      <c r="F9" s="27">
        <v>669974</v>
      </c>
      <c r="G9" s="27">
        <v>323124</v>
      </c>
      <c r="H9" s="27">
        <v>1298568</v>
      </c>
      <c r="I9" s="27">
        <v>953254</v>
      </c>
      <c r="J9" s="27">
        <v>636048</v>
      </c>
      <c r="K9" s="27">
        <v>317437</v>
      </c>
      <c r="L9" s="27">
        <f>1206143502.87/1000</f>
        <v>1206143.50287</v>
      </c>
      <c r="M9" s="27">
        <f>880550915.02/1000</f>
        <v>880550.91501999996</v>
      </c>
      <c r="N9" s="27">
        <v>577217.84531999996</v>
      </c>
      <c r="O9" s="27">
        <v>290138</v>
      </c>
      <c r="P9" s="27">
        <v>1259589.7422499999</v>
      </c>
      <c r="Q9" s="27">
        <v>968004.20036999998</v>
      </c>
      <c r="R9" s="27">
        <v>280089.44669000001</v>
      </c>
      <c r="S9" s="27">
        <v>404203</v>
      </c>
      <c r="T9" s="27">
        <v>1109706.9103000001</v>
      </c>
      <c r="U9" s="27">
        <v>775987.59572999994</v>
      </c>
      <c r="V9" s="27">
        <v>262237.46701999998</v>
      </c>
      <c r="W9" s="27">
        <v>257441.93117</v>
      </c>
      <c r="X9" s="27">
        <v>1025044.72549</v>
      </c>
      <c r="Y9" s="27">
        <f>746678200.07/1000</f>
        <v>746678.20007000002</v>
      </c>
      <c r="Z9" s="27">
        <f>491328502.52/1000</f>
        <v>491328.50251999998</v>
      </c>
      <c r="AA9" s="27">
        <f>246355178.49/1000</f>
        <v>246355.17849000002</v>
      </c>
      <c r="AB9" s="27">
        <v>1002855.72945</v>
      </c>
      <c r="AC9" s="27">
        <f>749550844.31/1000</f>
        <v>749550.84430999996</v>
      </c>
      <c r="AD9" s="27">
        <f>463719364.81/1000</f>
        <v>463719.36481</v>
      </c>
      <c r="AE9" s="27">
        <f>233064031.95/1000</f>
        <v>233064.03194999998</v>
      </c>
      <c r="AF9" s="28"/>
      <c r="AG9" s="29"/>
      <c r="AH9" s="29"/>
    </row>
    <row r="10" spans="1:34" ht="16.5" thickBot="1" x14ac:dyDescent="0.3">
      <c r="A10" s="30" t="s">
        <v>72</v>
      </c>
      <c r="B10" s="19">
        <v>69865</v>
      </c>
      <c r="C10" s="19">
        <v>33801</v>
      </c>
      <c r="D10" s="19">
        <v>129568</v>
      </c>
      <c r="E10" s="19">
        <v>93132</v>
      </c>
      <c r="F10" s="19">
        <v>60316</v>
      </c>
      <c r="G10" s="19">
        <v>31462</v>
      </c>
      <c r="H10" s="19">
        <v>140112</v>
      </c>
      <c r="I10" s="19">
        <v>104316</v>
      </c>
      <c r="J10" s="19">
        <v>69324</v>
      </c>
      <c r="K10" s="19">
        <v>33817</v>
      </c>
      <c r="L10" s="19">
        <f>118962786.85/1000</f>
        <v>118962.78684999999</v>
      </c>
      <c r="M10" s="19">
        <f>86638550.59/1000</f>
        <v>86638.550589999999</v>
      </c>
      <c r="N10" s="19">
        <v>55692.863790000003</v>
      </c>
      <c r="O10" s="19">
        <v>26613</v>
      </c>
      <c r="P10" s="19">
        <v>97912.565419999999</v>
      </c>
      <c r="Q10" s="19">
        <v>72472.204549999995</v>
      </c>
      <c r="R10" s="19">
        <v>24566.35585</v>
      </c>
      <c r="S10" s="19">
        <v>21361</v>
      </c>
      <c r="T10" s="19">
        <v>80776.377240000002</v>
      </c>
      <c r="U10" s="19">
        <v>58966.87803</v>
      </c>
      <c r="V10" s="19">
        <v>19432.793809999999</v>
      </c>
      <c r="W10" s="19">
        <v>21149.62542</v>
      </c>
      <c r="X10" s="19">
        <v>86595.963700000008</v>
      </c>
      <c r="Y10" s="19">
        <f>66525345.1/1000</f>
        <v>66525.345100000006</v>
      </c>
      <c r="Z10" s="19">
        <f>47122827.88/1000</f>
        <v>47122.827880000004</v>
      </c>
      <c r="AA10" s="19">
        <f>22949352.85/1000</f>
        <v>22949.352850000003</v>
      </c>
      <c r="AB10" s="19">
        <v>80349.059259999995</v>
      </c>
      <c r="AC10" s="19">
        <f>59612486.45/1000</f>
        <v>59612.486450000004</v>
      </c>
      <c r="AD10" s="19">
        <f>31784799.76/1000</f>
        <v>31784.799760000002</v>
      </c>
      <c r="AE10" s="19">
        <f>15735951.17/1000</f>
        <v>15735.95117</v>
      </c>
      <c r="AF10" s="28"/>
      <c r="AG10" s="29"/>
      <c r="AH10" s="1"/>
    </row>
    <row r="11" spans="1:34" ht="13.5" customHeight="1" thickBot="1" x14ac:dyDescent="0.3">
      <c r="A11" s="26" t="s">
        <v>73</v>
      </c>
      <c r="B11" s="27">
        <v>170698</v>
      </c>
      <c r="C11" s="27">
        <v>82046</v>
      </c>
      <c r="D11" s="27">
        <v>363441</v>
      </c>
      <c r="E11" s="27">
        <v>283566</v>
      </c>
      <c r="F11" s="27">
        <v>182778</v>
      </c>
      <c r="G11" s="27">
        <v>82761</v>
      </c>
      <c r="H11" s="27">
        <v>298268</v>
      </c>
      <c r="I11" s="27">
        <v>214472</v>
      </c>
      <c r="J11" s="27">
        <v>137194</v>
      </c>
      <c r="K11" s="27">
        <v>65994</v>
      </c>
      <c r="L11" s="27">
        <f>246741535.44/1000</f>
        <v>246741.53544000001</v>
      </c>
      <c r="M11" s="27">
        <f>177215831.08/1000</f>
        <v>177215.83108</v>
      </c>
      <c r="N11" s="27">
        <v>118712.64724999999</v>
      </c>
      <c r="O11" s="27">
        <v>59793</v>
      </c>
      <c r="P11" s="27">
        <v>225366.02374</v>
      </c>
      <c r="Q11" s="27">
        <v>166613.98542000001</v>
      </c>
      <c r="R11" s="27">
        <v>49586.29608</v>
      </c>
      <c r="S11" s="27">
        <v>51890</v>
      </c>
      <c r="T11" s="27">
        <v>214518.58882</v>
      </c>
      <c r="U11" s="27">
        <v>156019.42793999999</v>
      </c>
      <c r="V11" s="27">
        <v>47464.233099999998</v>
      </c>
      <c r="W11" s="27">
        <v>54453.549050000001</v>
      </c>
      <c r="X11" s="27">
        <v>181962.43779</v>
      </c>
      <c r="Y11" s="27">
        <f>135798660.83/1000</f>
        <v>135798.66083000001</v>
      </c>
      <c r="Z11" s="27">
        <f>89176260.11/1000</f>
        <v>89176.260110000003</v>
      </c>
      <c r="AA11" s="27">
        <f>43958256.8/1000</f>
        <v>43958.256799999996</v>
      </c>
      <c r="AB11" s="27">
        <v>192214.51861</v>
      </c>
      <c r="AC11" s="27">
        <f>142627492.84/1000</f>
        <v>142627.49283999999</v>
      </c>
      <c r="AD11" s="27">
        <f>90200999.36/1000</f>
        <v>90200.999360000002</v>
      </c>
      <c r="AE11" s="27">
        <f>51196943.07/1000</f>
        <v>51196.943070000001</v>
      </c>
      <c r="AF11" s="28"/>
      <c r="AG11" s="29"/>
      <c r="AH11" s="1"/>
    </row>
    <row r="12" spans="1:34" ht="16.5" thickBot="1" x14ac:dyDescent="0.3">
      <c r="A12" s="30" t="s">
        <v>74</v>
      </c>
      <c r="B12" s="19">
        <v>157943</v>
      </c>
      <c r="C12" s="19">
        <v>79546</v>
      </c>
      <c r="D12" s="19">
        <v>291282</v>
      </c>
      <c r="E12" s="19">
        <v>205993</v>
      </c>
      <c r="F12" s="19">
        <v>126614</v>
      </c>
      <c r="G12" s="19">
        <v>62018</v>
      </c>
      <c r="H12" s="19">
        <v>274378</v>
      </c>
      <c r="I12" s="19">
        <v>189696</v>
      </c>
      <c r="J12" s="19">
        <v>127049</v>
      </c>
      <c r="K12" s="19">
        <v>61322</v>
      </c>
      <c r="L12" s="19">
        <f>239588204.16/1000</f>
        <v>239588.20415999999</v>
      </c>
      <c r="M12" s="19">
        <f>175270379.14/1000</f>
        <v>175270.37913999998</v>
      </c>
      <c r="N12" s="19">
        <v>115340.96647</v>
      </c>
      <c r="O12" s="19">
        <v>59154</v>
      </c>
      <c r="P12" s="19">
        <v>261757.66894</v>
      </c>
      <c r="Q12" s="19">
        <v>202365.29204999999</v>
      </c>
      <c r="R12" s="19">
        <v>70746.748720000003</v>
      </c>
      <c r="S12" s="19">
        <v>75186</v>
      </c>
      <c r="T12" s="19">
        <v>245715.79751</v>
      </c>
      <c r="U12" s="19">
        <v>170078.65671000001</v>
      </c>
      <c r="V12" s="19">
        <v>55954.776879999998</v>
      </c>
      <c r="W12" s="19">
        <v>52538.335480000002</v>
      </c>
      <c r="X12" s="19">
        <v>215251.51762999999</v>
      </c>
      <c r="Y12" s="19">
        <f>156961462.58/1000</f>
        <v>156961.46258000002</v>
      </c>
      <c r="Z12" s="19">
        <f>102578551.53/1000</f>
        <v>102578.55153</v>
      </c>
      <c r="AA12" s="19">
        <f>50718254.84/1000</f>
        <v>50718.254840000001</v>
      </c>
      <c r="AB12" s="19">
        <v>224575.65528000001</v>
      </c>
      <c r="AC12" s="19">
        <f>167041561.76/1000</f>
        <v>167041.56175999998</v>
      </c>
      <c r="AD12" s="19">
        <f>110165876.5/1000</f>
        <v>110165.8765</v>
      </c>
      <c r="AE12" s="19">
        <f>54035327.09/1000</f>
        <v>54035.327090000006</v>
      </c>
      <c r="AF12" s="28"/>
      <c r="AG12" s="29"/>
      <c r="AH12" s="1"/>
    </row>
    <row r="13" spans="1:34" ht="13.5" customHeight="1" thickBot="1" x14ac:dyDescent="0.3">
      <c r="A13" s="26" t="s">
        <v>75</v>
      </c>
      <c r="B13" s="27">
        <v>23527</v>
      </c>
      <c r="C13" s="27">
        <v>13491</v>
      </c>
      <c r="D13" s="27">
        <v>43048</v>
      </c>
      <c r="E13" s="27">
        <v>25063</v>
      </c>
      <c r="F13" s="27">
        <v>17496</v>
      </c>
      <c r="G13" s="27">
        <v>8041</v>
      </c>
      <c r="H13" s="27">
        <v>34342</v>
      </c>
      <c r="I13" s="27">
        <v>23752</v>
      </c>
      <c r="J13" s="27">
        <v>16481</v>
      </c>
      <c r="K13" s="27">
        <v>7641</v>
      </c>
      <c r="L13" s="27">
        <f>29248621.52/1000</f>
        <v>29248.621520000001</v>
      </c>
      <c r="M13" s="27">
        <f>27492531.54/1000</f>
        <v>27492.53154</v>
      </c>
      <c r="N13" s="27">
        <v>17115.003530000002</v>
      </c>
      <c r="O13" s="27">
        <v>8245</v>
      </c>
      <c r="P13" s="27">
        <v>60408.921470000001</v>
      </c>
      <c r="Q13" s="27">
        <v>46835.796909999997</v>
      </c>
      <c r="R13" s="27">
        <v>9265.1400599999997</v>
      </c>
      <c r="S13" s="27">
        <v>29740</v>
      </c>
      <c r="T13" s="27">
        <v>48916.549209999997</v>
      </c>
      <c r="U13" s="27">
        <v>24037.74583</v>
      </c>
      <c r="V13" s="27">
        <v>13647.25035</v>
      </c>
      <c r="W13" s="27">
        <v>4278.6938499999997</v>
      </c>
      <c r="X13" s="27">
        <v>22033.401020000001</v>
      </c>
      <c r="Y13" s="27">
        <f>10160252.92/1000</f>
        <v>10160.252920000001</v>
      </c>
      <c r="Z13" s="27">
        <f>6946731.1/1000</f>
        <v>6946.7311</v>
      </c>
      <c r="AA13" s="27">
        <f>3830971.51/1000</f>
        <v>3830.9715099999999</v>
      </c>
      <c r="AB13" s="27">
        <v>24035.044119999999</v>
      </c>
      <c r="AC13" s="27">
        <f>11906782.3/1000</f>
        <v>11906.782300000001</v>
      </c>
      <c r="AD13" s="27">
        <f>7986220.3/1000</f>
        <v>7986.2203</v>
      </c>
      <c r="AE13" s="27">
        <f>5944064.22/1000</f>
        <v>5944.0642199999993</v>
      </c>
      <c r="AF13" s="28"/>
      <c r="AG13" s="29"/>
      <c r="AH13" s="1"/>
    </row>
    <row r="14" spans="1:34" ht="13.5" customHeight="1" thickBot="1" x14ac:dyDescent="0.3">
      <c r="A14" s="30" t="s">
        <v>76</v>
      </c>
      <c r="B14" s="19">
        <v>63062</v>
      </c>
      <c r="C14" s="19">
        <v>30347</v>
      </c>
      <c r="D14" s="19">
        <v>123848</v>
      </c>
      <c r="E14" s="19">
        <v>89082</v>
      </c>
      <c r="F14" s="19">
        <v>58119</v>
      </c>
      <c r="G14" s="19">
        <v>28566</v>
      </c>
      <c r="H14" s="19">
        <v>112456</v>
      </c>
      <c r="I14" s="19">
        <v>86673</v>
      </c>
      <c r="J14" s="19">
        <v>57586</v>
      </c>
      <c r="K14" s="19">
        <v>26498</v>
      </c>
      <c r="L14" s="19">
        <f>100675053.86/1000</f>
        <v>100675.05386</v>
      </c>
      <c r="M14" s="19">
        <f>73160263.71/1000</f>
        <v>73160.263709999999</v>
      </c>
      <c r="N14" s="19">
        <v>46572.064420000002</v>
      </c>
      <c r="O14" s="19">
        <v>21740</v>
      </c>
      <c r="P14" s="19">
        <v>17683.005219999999</v>
      </c>
      <c r="Q14" s="19">
        <v>13268.2019</v>
      </c>
      <c r="R14" s="19">
        <v>7877.0190300000004</v>
      </c>
      <c r="S14" s="19">
        <v>19251</v>
      </c>
      <c r="T14" s="19">
        <v>7315.5587400000004</v>
      </c>
      <c r="U14" s="19">
        <v>55695.944499999998</v>
      </c>
      <c r="V14" s="19">
        <v>1597.87201</v>
      </c>
      <c r="W14" s="19">
        <v>17869.75157</v>
      </c>
      <c r="X14" s="19">
        <v>73757.028599999991</v>
      </c>
      <c r="Y14" s="19">
        <f>54189828.37/1000</f>
        <v>54189.828369999996</v>
      </c>
      <c r="Z14" s="19">
        <f>36382722.36/1000</f>
        <v>36382.72236</v>
      </c>
      <c r="AA14" s="19">
        <f>18507562.45/1000</f>
        <v>18507.562449999998</v>
      </c>
      <c r="AB14" s="19">
        <v>55021.556649999999</v>
      </c>
      <c r="AC14" s="19">
        <f>40706057.36/1000</f>
        <v>40706.057359999999</v>
      </c>
      <c r="AD14" s="19">
        <f>26122315.53/1000</f>
        <v>26122.31553</v>
      </c>
      <c r="AE14" s="19">
        <f>13208310.99/1000</f>
        <v>13208.31099</v>
      </c>
      <c r="AF14" s="28"/>
      <c r="AG14" s="29"/>
      <c r="AH14" s="1"/>
    </row>
    <row r="15" spans="1:34" ht="13.5" customHeight="1" thickBot="1" x14ac:dyDescent="0.3">
      <c r="A15" s="31" t="s">
        <v>77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 t="s">
        <v>17</v>
      </c>
      <c r="O15" s="27" t="s">
        <v>17</v>
      </c>
      <c r="P15" s="27">
        <v>73192.063479999997</v>
      </c>
      <c r="Q15" s="27">
        <v>53860.871279999999</v>
      </c>
      <c r="R15" s="27">
        <v>16697.90682</v>
      </c>
      <c r="S15" s="27" t="s">
        <v>17</v>
      </c>
      <c r="T15" s="27">
        <v>67840.673479999998</v>
      </c>
      <c r="U15" s="27" t="s">
        <v>17</v>
      </c>
      <c r="V15" s="27">
        <v>16744.757819999999</v>
      </c>
      <c r="W15" s="27" t="s">
        <v>17</v>
      </c>
      <c r="X15" s="27" t="s">
        <v>17</v>
      </c>
      <c r="Y15" s="27"/>
      <c r="Z15" s="27"/>
      <c r="AA15" s="27"/>
      <c r="AB15" s="27" t="s">
        <v>17</v>
      </c>
      <c r="AC15" s="27"/>
      <c r="AD15" s="27"/>
      <c r="AE15" s="27"/>
      <c r="AF15" s="28"/>
      <c r="AG15" s="29"/>
      <c r="AH15" s="1"/>
    </row>
    <row r="16" spans="1:34" ht="16.5" thickBot="1" x14ac:dyDescent="0.3">
      <c r="A16" s="30" t="s">
        <v>78</v>
      </c>
      <c r="B16" s="19">
        <v>115545</v>
      </c>
      <c r="C16" s="19">
        <v>56529</v>
      </c>
      <c r="D16" s="19">
        <v>197786</v>
      </c>
      <c r="E16" s="19">
        <v>144968</v>
      </c>
      <c r="F16" s="19">
        <v>95253</v>
      </c>
      <c r="G16" s="19">
        <v>45950</v>
      </c>
      <c r="H16" s="19">
        <v>167437</v>
      </c>
      <c r="I16" s="19">
        <v>128262</v>
      </c>
      <c r="J16" s="19">
        <v>84510</v>
      </c>
      <c r="K16" s="19">
        <v>41805</v>
      </c>
      <c r="L16" s="19">
        <f>157651931.59/1000</f>
        <v>157651.93158999999</v>
      </c>
      <c r="M16" s="19">
        <f>115481238.12/1000</f>
        <v>115481.23812000001</v>
      </c>
      <c r="N16" s="19">
        <v>75080.280369999993</v>
      </c>
      <c r="O16" s="19">
        <v>36377</v>
      </c>
      <c r="P16" s="19">
        <v>124459.83255000001</v>
      </c>
      <c r="Q16" s="19">
        <v>89505.744630000001</v>
      </c>
      <c r="R16" s="19">
        <v>29210.595420000001</v>
      </c>
      <c r="S16" s="19">
        <v>28536</v>
      </c>
      <c r="T16" s="19">
        <v>115530.60145</v>
      </c>
      <c r="U16" s="19">
        <v>89457.26569</v>
      </c>
      <c r="V16" s="19">
        <v>29665.25272</v>
      </c>
      <c r="W16" s="19">
        <v>29726.684740000001</v>
      </c>
      <c r="X16" s="19">
        <v>118161.62579000001</v>
      </c>
      <c r="Y16" s="19">
        <f>88490802.08/1000</f>
        <v>88490.802079999994</v>
      </c>
      <c r="Z16" s="19">
        <f>58844803.04/1000</f>
        <v>58844.803039999999</v>
      </c>
      <c r="AA16" s="19">
        <f>28782863.35/1000</f>
        <v>28782.863350000003</v>
      </c>
      <c r="AB16" s="19">
        <v>111151.84686999999</v>
      </c>
      <c r="AC16" s="19">
        <f>182323828.55/1000</f>
        <v>182323.82855000001</v>
      </c>
      <c r="AD16" s="19">
        <f>120004096.1/1000</f>
        <v>120004.0961</v>
      </c>
      <c r="AE16" s="19">
        <v>57992</v>
      </c>
      <c r="AF16" s="28"/>
      <c r="AG16" s="29"/>
      <c r="AH16" s="1"/>
    </row>
    <row r="17" spans="1:35" ht="13.5" customHeight="1" thickBot="1" x14ac:dyDescent="0.3">
      <c r="A17" s="26" t="s">
        <v>79</v>
      </c>
      <c r="B17" s="27">
        <v>47266</v>
      </c>
      <c r="C17" s="27">
        <v>32991</v>
      </c>
      <c r="D17" s="27">
        <v>49408</v>
      </c>
      <c r="E17" s="27">
        <v>32076</v>
      </c>
      <c r="F17" s="27">
        <v>26541</v>
      </c>
      <c r="G17" s="27">
        <v>17784</v>
      </c>
      <c r="H17" s="27">
        <v>32203</v>
      </c>
      <c r="I17" s="27">
        <v>28520</v>
      </c>
      <c r="J17" s="27">
        <v>24099</v>
      </c>
      <c r="K17" s="27">
        <v>16367</v>
      </c>
      <c r="L17" s="27">
        <f>35062409.95/1000</f>
        <v>35062.409950000001</v>
      </c>
      <c r="M17" s="27">
        <f>30658612.57/1000</f>
        <v>30658.612570000001</v>
      </c>
      <c r="N17" s="27">
        <v>25971.617760000001</v>
      </c>
      <c r="O17" s="27">
        <v>3199</v>
      </c>
      <c r="P17" s="27">
        <v>17465.175510000001</v>
      </c>
      <c r="Q17" s="27">
        <v>14543.14299</v>
      </c>
      <c r="R17" s="27">
        <v>4366.9975899999999</v>
      </c>
      <c r="S17" s="27">
        <v>6817</v>
      </c>
      <c r="T17" s="27">
        <v>23393.042460000001</v>
      </c>
      <c r="U17" s="27">
        <v>21406.195879999999</v>
      </c>
      <c r="V17" s="27">
        <v>7479.4818999999998</v>
      </c>
      <c r="W17" s="27">
        <v>5720.6688299999996</v>
      </c>
      <c r="X17" s="27">
        <v>15695.01757</v>
      </c>
      <c r="Y17" s="27">
        <f>13950877.28/1000</f>
        <v>13950.877279999999</v>
      </c>
      <c r="Z17" s="27">
        <f>11570970.96/1000</f>
        <v>11570.970960000001</v>
      </c>
      <c r="AA17" s="27">
        <f>4735241.3/1000</f>
        <v>4735.2412999999997</v>
      </c>
      <c r="AB17" s="27">
        <v>14949.632320000001</v>
      </c>
      <c r="AC17" s="27">
        <f>13235300.85/1000</f>
        <v>13235.30085</v>
      </c>
      <c r="AD17" s="27">
        <f>7268856.48/1000</f>
        <v>7268.8564800000004</v>
      </c>
      <c r="AE17" s="27">
        <v>4363</v>
      </c>
      <c r="AF17" s="28"/>
      <c r="AG17" s="29"/>
      <c r="AH17" s="1"/>
    </row>
    <row r="18" spans="1:35" ht="13.5" customHeight="1" thickBot="1" x14ac:dyDescent="0.3">
      <c r="A18" s="30" t="s">
        <v>249</v>
      </c>
      <c r="B18" s="19">
        <f>6982+(-1210)</f>
        <v>5772</v>
      </c>
      <c r="C18" s="19">
        <v>19843</v>
      </c>
      <c r="D18" s="19">
        <v>30421</v>
      </c>
      <c r="E18" s="19">
        <v>29796</v>
      </c>
      <c r="F18" s="19">
        <v>46938</v>
      </c>
      <c r="G18" s="19">
        <v>52287</v>
      </c>
      <c r="H18" s="19">
        <f>-1152-26872</f>
        <v>-28024</v>
      </c>
      <c r="I18" s="19">
        <v>32944</v>
      </c>
      <c r="J18" s="19">
        <v>13253</v>
      </c>
      <c r="K18" s="19">
        <v>27132</v>
      </c>
      <c r="L18" s="19">
        <f>48099100.34/1000</f>
        <v>48099.100340000005</v>
      </c>
      <c r="M18" s="19">
        <f>54358088.86/1000</f>
        <v>54358.088859999996</v>
      </c>
      <c r="N18" s="19">
        <v>21907.948400000001</v>
      </c>
      <c r="O18" s="19">
        <v>-28810</v>
      </c>
      <c r="P18" s="19">
        <v>36123.577169999997</v>
      </c>
      <c r="Q18" s="19">
        <v>1427.5894000000001</v>
      </c>
      <c r="R18" s="19">
        <v>15293.33106</v>
      </c>
      <c r="S18" s="19">
        <v>-27996</v>
      </c>
      <c r="T18" s="19">
        <v>20402.608400000001</v>
      </c>
      <c r="U18" s="19">
        <v>125086.65854</v>
      </c>
      <c r="V18" s="19">
        <v>9212.1112699999994</v>
      </c>
      <c r="W18" s="19">
        <v>105531.23379</v>
      </c>
      <c r="X18" s="19">
        <v>62663.44457</v>
      </c>
      <c r="Y18" s="19">
        <f>-1911911.05/1000</f>
        <v>-1911.9110500000002</v>
      </c>
      <c r="Z18" s="19">
        <f>4285527.01/1000</f>
        <v>4285.5270099999998</v>
      </c>
      <c r="AA18" s="19">
        <f>22174861.53/1000</f>
        <v>22174.861530000002</v>
      </c>
      <c r="AB18" s="19">
        <v>53481.465129999997</v>
      </c>
      <c r="AC18" s="19">
        <f>94009776.7/1000</f>
        <v>94009.776700000002</v>
      </c>
      <c r="AD18" s="19">
        <f>52422031.43/1000</f>
        <v>52422.031430000003</v>
      </c>
      <c r="AE18" s="19">
        <f>10934049.7/1000</f>
        <v>10934.0497</v>
      </c>
      <c r="AF18" s="28"/>
      <c r="AG18" s="29"/>
      <c r="AH18" s="1"/>
    </row>
    <row r="19" spans="1:35" ht="16.5" thickBot="1" x14ac:dyDescent="0.3">
      <c r="A19" s="26" t="s">
        <v>80</v>
      </c>
      <c r="B19" s="27">
        <v>70163</v>
      </c>
      <c r="C19" s="27">
        <v>14257</v>
      </c>
      <c r="D19" s="27">
        <v>68403</v>
      </c>
      <c r="E19" s="27">
        <v>65521</v>
      </c>
      <c r="F19" s="27">
        <v>43299</v>
      </c>
      <c r="G19" s="27">
        <f>10950-2243</f>
        <v>8707</v>
      </c>
      <c r="H19" s="27">
        <v>127269</v>
      </c>
      <c r="I19" s="27">
        <v>106534</v>
      </c>
      <c r="J19" s="27">
        <f>29847-10025</f>
        <v>19822</v>
      </c>
      <c r="K19" s="27">
        <f>-18927-5235</f>
        <v>-24162</v>
      </c>
      <c r="L19" s="27">
        <f>47450013.85/1000</f>
        <v>47450.013850000003</v>
      </c>
      <c r="M19" s="27">
        <f>39289300.13/1000</f>
        <v>39289.300130000003</v>
      </c>
      <c r="N19" s="27">
        <v>38057.895909999999</v>
      </c>
      <c r="O19" s="27">
        <v>-144</v>
      </c>
      <c r="P19" s="27">
        <v>17308.127209999999</v>
      </c>
      <c r="Q19" s="27">
        <v>24130.818350000001</v>
      </c>
      <c r="R19" s="27">
        <v>-1220.9923200000001</v>
      </c>
      <c r="S19" s="27">
        <v>122</v>
      </c>
      <c r="T19" s="27">
        <v>7665.8430799999996</v>
      </c>
      <c r="U19" s="27">
        <v>-22003.40308</v>
      </c>
      <c r="V19" s="27">
        <v>-4415.3574600000002</v>
      </c>
      <c r="W19" s="27">
        <v>1234.8714</v>
      </c>
      <c r="X19" s="27">
        <v>38189.342799999999</v>
      </c>
      <c r="Y19" s="27">
        <f>(11095926.63+69146409.14)/1000</f>
        <v>80242.335769999991</v>
      </c>
      <c r="Z19" s="27">
        <f>7367239.18/1000+35691805.24/1000</f>
        <v>43059.044419999998</v>
      </c>
      <c r="AA19" s="27">
        <f>8000579.9/1000+14172064.85/1000</f>
        <v>22172.644749999999</v>
      </c>
      <c r="AB19" s="27">
        <v>25280.261849999999</v>
      </c>
      <c r="AC19" s="27">
        <f>5250341.24/1000+10934049.7/1000</f>
        <v>16184.390940000001</v>
      </c>
      <c r="AD19" s="27">
        <f>3138150.74/1000+28568789.63/1000</f>
        <v>31706.94037</v>
      </c>
      <c r="AE19" s="27">
        <f>-1588507.82/1000</f>
        <v>-1588.50782</v>
      </c>
      <c r="AF19" s="28"/>
      <c r="AG19" s="29"/>
      <c r="AH19" s="1"/>
    </row>
    <row r="20" spans="1:35" ht="12.75" customHeight="1" x14ac:dyDescent="0.25">
      <c r="A20" s="25" t="s">
        <v>81</v>
      </c>
      <c r="B20" s="21">
        <f>SUM(B9:B19)</f>
        <v>1457252</v>
      </c>
      <c r="C20" s="21">
        <f>SUM(C9:C19)</f>
        <v>732581</v>
      </c>
      <c r="D20" s="21">
        <f>SUM(D9:D19)</f>
        <v>2691310</v>
      </c>
      <c r="E20" s="21">
        <f>SUM(E9:E19)</f>
        <v>1997368</v>
      </c>
      <c r="F20" s="21">
        <f>SUM(F9:F19)</f>
        <v>1327328</v>
      </c>
      <c r="G20" s="21">
        <f>SUM(G9:G19)</f>
        <v>660700</v>
      </c>
      <c r="H20" s="21">
        <v>2457009</v>
      </c>
      <c r="I20" s="21">
        <v>1853396</v>
      </c>
      <c r="J20" s="21">
        <v>1185366</v>
      </c>
      <c r="K20" s="21">
        <v>573850</v>
      </c>
      <c r="L20" s="21">
        <f>SUM(L9:L19)</f>
        <v>2229623.1604300002</v>
      </c>
      <c r="M20" s="21">
        <f>1660115710.76/1000</f>
        <v>1660115.7107599999</v>
      </c>
      <c r="N20" s="21">
        <v>1091669.13322</v>
      </c>
      <c r="O20" s="21">
        <v>476305</v>
      </c>
      <c r="P20" s="21">
        <v>2191266.7029599999</v>
      </c>
      <c r="Q20" s="21">
        <v>1653027.84785</v>
      </c>
      <c r="R20" s="21">
        <v>506479</v>
      </c>
      <c r="S20" s="21">
        <v>609110</v>
      </c>
      <c r="T20" s="21">
        <v>1941782.5506899999</v>
      </c>
      <c r="U20" s="21">
        <v>1454732.9657699999</v>
      </c>
      <c r="V20" s="21">
        <v>459021</v>
      </c>
      <c r="W20" s="21">
        <v>549945.34530000004</v>
      </c>
      <c r="X20" s="21">
        <f>SUM(X9:X19)</f>
        <v>1839354.50496</v>
      </c>
      <c r="Y20" s="21">
        <f>SUM(Y9:Y19)</f>
        <v>1351085.8539500001</v>
      </c>
      <c r="Z20" s="21">
        <f>SUM(Z9:Z19)</f>
        <v>891295.94093000004</v>
      </c>
      <c r="AA20" s="21">
        <f>464185187.87/1000</f>
        <v>464185.18787000002</v>
      </c>
      <c r="AB20" s="21">
        <v>1783914.76954</v>
      </c>
      <c r="AC20" s="21">
        <f>SUM(AC9:AC19)</f>
        <v>1477198.5220600001</v>
      </c>
      <c r="AD20" s="21">
        <f>SUM(AD9:AD19)</f>
        <v>941381.50063999998</v>
      </c>
      <c r="AE20" s="21">
        <f>SUM(AE9:AE19)</f>
        <v>444885.17036999995</v>
      </c>
      <c r="AF20" s="1"/>
      <c r="AG20" s="1"/>
      <c r="AH20" s="1"/>
      <c r="AI20" s="1"/>
    </row>
    <row r="21" spans="1:35" x14ac:dyDescent="0.25">
      <c r="A21" s="30" t="s">
        <v>82</v>
      </c>
      <c r="B21" s="19">
        <v>-9258</v>
      </c>
      <c r="C21" s="19">
        <v>3039</v>
      </c>
      <c r="D21" s="19">
        <v>-63381</v>
      </c>
      <c r="E21" s="19">
        <v>-124</v>
      </c>
      <c r="F21" s="19">
        <v>-4341</v>
      </c>
      <c r="G21" s="19">
        <v>5823</v>
      </c>
      <c r="H21" s="19">
        <v>994</v>
      </c>
      <c r="I21" s="19">
        <v>10934</v>
      </c>
      <c r="J21" s="19">
        <v>17882</v>
      </c>
      <c r="K21" s="19">
        <v>9055</v>
      </c>
      <c r="L21" s="19">
        <f>20227247.79/1000</f>
        <v>20227.247789999998</v>
      </c>
      <c r="M21" s="19">
        <f>19041554.56/1000</f>
        <v>19041.554559999997</v>
      </c>
      <c r="N21" s="19">
        <v>12990.98531</v>
      </c>
      <c r="O21" s="19">
        <v>10788</v>
      </c>
      <c r="P21" s="19">
        <v>18480.452850000001</v>
      </c>
      <c r="Q21" s="19">
        <v>-7599.1767499999996</v>
      </c>
      <c r="R21" s="19">
        <v>4209</v>
      </c>
      <c r="S21" s="19">
        <v>-12332</v>
      </c>
      <c r="T21" s="19">
        <v>24186.920849999999</v>
      </c>
      <c r="U21" s="19">
        <v>12001.925359999999</v>
      </c>
      <c r="V21" s="19">
        <v>-16641</v>
      </c>
      <c r="W21" s="19">
        <v>4942.63897</v>
      </c>
      <c r="X21" s="19">
        <v>-3749.8874799999999</v>
      </c>
      <c r="Y21" s="19">
        <f>61373365.31/1000</f>
        <v>61373.365310000001</v>
      </c>
      <c r="Z21" s="19">
        <f>50648650.94/1000</f>
        <v>50648.65094</v>
      </c>
      <c r="AA21" s="19">
        <f>34814759.71/1000</f>
        <v>34814.759709999998</v>
      </c>
      <c r="AB21" s="19">
        <v>52525.331530000003</v>
      </c>
      <c r="AC21" s="19">
        <f>45799407.5/1000</f>
        <v>45799.407500000001</v>
      </c>
      <c r="AD21" s="19">
        <f>29008849.53/1000</f>
        <v>29008.84953</v>
      </c>
      <c r="AE21" s="19">
        <v>14527</v>
      </c>
      <c r="AF21" s="1"/>
      <c r="AG21" s="1"/>
      <c r="AH21" s="1"/>
      <c r="AI21" s="1"/>
    </row>
    <row r="22" spans="1:35" ht="12.75" customHeight="1" x14ac:dyDescent="0.25">
      <c r="A22" s="26" t="s">
        <v>83</v>
      </c>
      <c r="B22" s="27">
        <v>98818</v>
      </c>
      <c r="C22" s="27">
        <v>32397</v>
      </c>
      <c r="D22" s="27">
        <v>254325</v>
      </c>
      <c r="E22" s="27">
        <v>173150</v>
      </c>
      <c r="F22" s="27">
        <v>102517</v>
      </c>
      <c r="G22" s="27">
        <v>45357</v>
      </c>
      <c r="H22" s="27">
        <v>225448</v>
      </c>
      <c r="I22" s="27">
        <v>159607</v>
      </c>
      <c r="J22" s="27">
        <v>105962</v>
      </c>
      <c r="K22" s="27">
        <v>51042</v>
      </c>
      <c r="L22" s="27">
        <f>234166923.58/1000</f>
        <v>234166.92358</v>
      </c>
      <c r="M22" s="27">
        <f>156195397.61/1000</f>
        <v>156195.39761000001</v>
      </c>
      <c r="N22" s="27">
        <v>92261.273440000004</v>
      </c>
      <c r="O22" s="27">
        <v>51834</v>
      </c>
      <c r="P22" s="27">
        <v>151491.66115</v>
      </c>
      <c r="Q22" s="27">
        <v>110063.41823</v>
      </c>
      <c r="R22" s="27">
        <v>45521</v>
      </c>
      <c r="S22" s="27">
        <v>-9545</v>
      </c>
      <c r="T22" s="27">
        <v>135519.00706</v>
      </c>
      <c r="U22" s="27">
        <v>101791.59329999999</v>
      </c>
      <c r="V22" s="27">
        <v>45281</v>
      </c>
      <c r="W22" s="27">
        <v>4592.1389300000001</v>
      </c>
      <c r="X22" s="27">
        <v>132082.53948000001</v>
      </c>
      <c r="Y22" s="27">
        <f>110084359.94/1000</f>
        <v>110084.35993999999</v>
      </c>
      <c r="Z22" s="27">
        <f>60300439.15/1000</f>
        <v>60300.439149999998</v>
      </c>
      <c r="AA22" s="27">
        <f>23054294.82/1000</f>
        <v>23054.294819999999</v>
      </c>
      <c r="AB22" s="27">
        <v>135080.80241</v>
      </c>
      <c r="AC22" s="27">
        <f>42244964.06/1000</f>
        <v>42244.964060000006</v>
      </c>
      <c r="AD22" s="27">
        <f>26343842.33/1000</f>
        <v>26343.842329999999</v>
      </c>
      <c r="AE22" s="27">
        <f>4130+11315</f>
        <v>15445</v>
      </c>
      <c r="AF22" s="1"/>
      <c r="AG22" s="1"/>
      <c r="AH22" s="1"/>
      <c r="AI22" s="1"/>
    </row>
    <row r="23" spans="1:35" x14ac:dyDescent="0.25">
      <c r="A23" s="25" t="s">
        <v>84</v>
      </c>
      <c r="B23" s="139">
        <f>'DRE Sintetica'!B29</f>
        <v>252470</v>
      </c>
      <c r="C23" s="139">
        <f>C8-C20-SUM(C21:C22)</f>
        <v>79018</v>
      </c>
      <c r="D23" s="139">
        <f>D8-D20-SUM(D21:D22)</f>
        <v>669770</v>
      </c>
      <c r="E23" s="139">
        <v>456023</v>
      </c>
      <c r="F23" s="139">
        <v>268801</v>
      </c>
      <c r="G23" s="139">
        <v>621594</v>
      </c>
      <c r="H23" s="139">
        <v>621594</v>
      </c>
      <c r="I23" s="139">
        <v>452843</v>
      </c>
      <c r="J23" s="139">
        <v>279452</v>
      </c>
      <c r="K23" s="21">
        <v>131757</v>
      </c>
      <c r="L23" s="21">
        <v>583856</v>
      </c>
      <c r="M23" s="21">
        <f>406309293.89/1000</f>
        <v>406309.29388999997</v>
      </c>
      <c r="N23" s="21">
        <v>232565.39578999998</v>
      </c>
      <c r="O23" s="21">
        <v>129742</v>
      </c>
      <c r="P23" s="21">
        <v>401637.27333</v>
      </c>
      <c r="Q23" s="21">
        <v>287992.74656</v>
      </c>
      <c r="R23" s="21">
        <v>126173</v>
      </c>
      <c r="S23" s="21">
        <v>23255</v>
      </c>
      <c r="T23" s="21">
        <v>352456.02111999999</v>
      </c>
      <c r="U23" s="21">
        <v>248498.39477000001</v>
      </c>
      <c r="V23" s="21">
        <v>113949</v>
      </c>
      <c r="W23" s="21">
        <f>W8-W20-W21-W22</f>
        <v>9851.0919199999043</v>
      </c>
      <c r="X23" s="21">
        <v>336346.23115000001</v>
      </c>
      <c r="Y23" s="21">
        <f>230356599.049999/1000</f>
        <v>230356.599049999</v>
      </c>
      <c r="Z23" s="21">
        <f>119584184.57/1000</f>
        <v>119584.18457</v>
      </c>
      <c r="AA23" s="21">
        <f>48274901.4500001/1000</f>
        <v>48274.901450000099</v>
      </c>
      <c r="AB23" s="21">
        <f>AB8-AB20-AB21-AB22</f>
        <v>275061.56982000015</v>
      </c>
      <c r="AC23" s="21">
        <f>77235000.8799996/1000</f>
        <v>77235.000879999599</v>
      </c>
      <c r="AD23" s="21">
        <f>53081378.4400005/1000</f>
        <v>53081.378440000495</v>
      </c>
      <c r="AE23" s="21">
        <v>42160</v>
      </c>
      <c r="AF23" s="1"/>
      <c r="AG23" s="1"/>
      <c r="AH23" s="1"/>
      <c r="AI23" s="1"/>
    </row>
    <row r="24" spans="1:35" x14ac:dyDescent="0.25">
      <c r="A24" s="26" t="s">
        <v>85</v>
      </c>
      <c r="B24" s="27">
        <v>457575</v>
      </c>
      <c r="C24" s="27">
        <v>170983</v>
      </c>
      <c r="D24" s="27">
        <v>1058498</v>
      </c>
      <c r="E24" s="27">
        <v>774016</v>
      </c>
      <c r="F24" s="27">
        <v>462229</v>
      </c>
      <c r="G24" s="27">
        <v>204724</v>
      </c>
      <c r="H24" s="27">
        <v>1015473</v>
      </c>
      <c r="I24" s="27">
        <v>751642</v>
      </c>
      <c r="J24" s="27">
        <v>487806</v>
      </c>
      <c r="K24" s="27">
        <v>233658</v>
      </c>
      <c r="L24" s="27">
        <f>995902400.68/1000</f>
        <v>995902.40067999996</v>
      </c>
      <c r="M24" s="27">
        <f>697027484.18/1000</f>
        <v>697027.48417999991</v>
      </c>
      <c r="N24" s="27">
        <v>412897.93491000001</v>
      </c>
      <c r="O24" s="27">
        <v>228740</v>
      </c>
      <c r="P24" s="27">
        <f>696069219.88/1000</f>
        <v>696069.21987999999</v>
      </c>
      <c r="Q24" s="27">
        <v>479963</v>
      </c>
      <c r="R24" s="27">
        <v>205112</v>
      </c>
      <c r="S24" s="27">
        <v>49003</v>
      </c>
      <c r="T24" s="27">
        <f>627692550.48/1000</f>
        <v>627692.55047999998</v>
      </c>
      <c r="U24" s="27">
        <v>451749.17911999999</v>
      </c>
      <c r="V24" s="27">
        <v>172254</v>
      </c>
      <c r="W24" s="27">
        <v>49112.554559999997</v>
      </c>
      <c r="X24" s="27">
        <v>650570.10216000001</v>
      </c>
      <c r="Y24" s="27">
        <f>Y23+Y16+Y21+Y22</f>
        <v>490305.12637999898</v>
      </c>
      <c r="Z24" s="27">
        <f>Z23+Z16+Z21+Z22</f>
        <v>289378.07770000002</v>
      </c>
      <c r="AA24" s="27">
        <f>AA23+AA16+AA21+AA22</f>
        <v>134926.81933000011</v>
      </c>
      <c r="AB24" s="27">
        <v>573819.55062999995</v>
      </c>
      <c r="AC24" s="27">
        <f>AC23+AC16+AC21+AC22</f>
        <v>347603.20098999963</v>
      </c>
      <c r="AD24" s="27">
        <f>228438166.4/1000</f>
        <v>228438.16640000002</v>
      </c>
      <c r="AE24" s="27">
        <v>130124</v>
      </c>
      <c r="AF24" s="1"/>
      <c r="AG24" s="1"/>
      <c r="AH24" s="1"/>
      <c r="AI24" s="1"/>
    </row>
    <row r="25" spans="1:35" ht="13.5" customHeight="1" x14ac:dyDescent="0.25">
      <c r="A25" s="30" t="s">
        <v>86</v>
      </c>
      <c r="B25" s="32">
        <v>0.25430000000000003</v>
      </c>
      <c r="C25" s="32">
        <v>0.2019</v>
      </c>
      <c r="D25" s="32">
        <v>0.29799999999999999</v>
      </c>
      <c r="E25" s="32">
        <v>0.29470000000000002</v>
      </c>
      <c r="F25" s="32">
        <v>0.27279999999999999</v>
      </c>
      <c r="G25" s="32">
        <v>0.24979999999999999</v>
      </c>
      <c r="H25" s="32">
        <v>0.30719999999999997</v>
      </c>
      <c r="I25" s="32">
        <v>0.30349999999999999</v>
      </c>
      <c r="J25" s="32">
        <v>0.30709999999999998</v>
      </c>
      <c r="K25" s="32">
        <v>0.30520000000000003</v>
      </c>
      <c r="L25" s="32">
        <v>0.3246</v>
      </c>
      <c r="M25" s="32">
        <v>0.31094228193478213</v>
      </c>
      <c r="N25" s="32">
        <v>0.2888</v>
      </c>
      <c r="O25" s="32">
        <v>0.34210000000000002</v>
      </c>
      <c r="P25" s="32">
        <v>0.251936459375179</v>
      </c>
      <c r="Q25" s="32">
        <v>0.2349</v>
      </c>
      <c r="R25" s="32">
        <v>0.30059999999999998</v>
      </c>
      <c r="S25" s="32">
        <v>7.7799999999999994E-2</v>
      </c>
      <c r="T25" s="32">
        <v>0.25578922039663898</v>
      </c>
      <c r="U25" s="32">
        <v>0.24859999999999999</v>
      </c>
      <c r="V25" s="32">
        <v>0.28632170342913199</v>
      </c>
      <c r="W25" s="32">
        <v>8.6263590078489494E-2</v>
      </c>
      <c r="X25" s="32">
        <v>0.27429999999999999</v>
      </c>
      <c r="Y25" s="32">
        <f>Y24/Y8</f>
        <v>0.27971080867222736</v>
      </c>
      <c r="Z25" s="32">
        <f>Z24/Z8</f>
        <v>0.25795198919633089</v>
      </c>
      <c r="AA25" s="32">
        <v>0.23657710777180033</v>
      </c>
      <c r="AB25" s="32">
        <v>0.25541886730163899</v>
      </c>
      <c r="AC25" s="32">
        <v>0.20754497292709595</v>
      </c>
      <c r="AD25" s="32">
        <f>21.7598378918554%</f>
        <v>0.21759837891855402</v>
      </c>
      <c r="AE25" s="32">
        <v>0.25168305798262225</v>
      </c>
      <c r="AF25" s="1"/>
      <c r="AG25" s="1"/>
      <c r="AH25" s="1"/>
      <c r="AI25" s="1"/>
    </row>
    <row r="26" spans="1:35" ht="13.5" customHeight="1" x14ac:dyDescent="0.25">
      <c r="A26" s="26" t="s">
        <v>87</v>
      </c>
      <c r="B26" s="33">
        <v>489627</v>
      </c>
      <c r="C26" s="33">
        <v>207280</v>
      </c>
      <c r="D26" s="33">
        <v>1126885</v>
      </c>
      <c r="E26" s="33">
        <v>815189</v>
      </c>
      <c r="F26" s="33">
        <v>503573</v>
      </c>
      <c r="G26" s="33">
        <v>266320</v>
      </c>
      <c r="H26" s="33">
        <v>1081366</v>
      </c>
      <c r="I26" s="33">
        <v>838153</v>
      </c>
      <c r="J26" s="33">
        <v>487176</v>
      </c>
      <c r="K26" s="33">
        <v>247358</v>
      </c>
      <c r="L26" s="33">
        <f>1062234112.8/1000</f>
        <v>1062234.1128</v>
      </c>
      <c r="M26" s="33">
        <f>755518902.55/1000</f>
        <v>755518.90255</v>
      </c>
      <c r="N26" s="33">
        <v>438939.21282000002</v>
      </c>
      <c r="O26" s="33">
        <v>199930</v>
      </c>
      <c r="P26" s="33">
        <f>863758929.65/1000</f>
        <v>863758.92964999995</v>
      </c>
      <c r="Q26" s="33">
        <v>612956</v>
      </c>
      <c r="R26" s="33">
        <v>223413</v>
      </c>
      <c r="S26" s="33">
        <v>149567</v>
      </c>
      <c r="T26" s="33">
        <f>648095158.88/1000</f>
        <v>648095.15888</v>
      </c>
      <c r="U26" s="33">
        <v>543200.63491000002</v>
      </c>
      <c r="V26" s="33">
        <v>181466</v>
      </c>
      <c r="W26" s="33">
        <v>154643.78834999999</v>
      </c>
      <c r="X26" s="33">
        <v>746868.74948</v>
      </c>
      <c r="Y26" s="33">
        <f>557539624.47/1000</f>
        <v>557539.62447000004</v>
      </c>
      <c r="Z26" s="33">
        <f>329355409.95/1000</f>
        <v>329355.40995</v>
      </c>
      <c r="AA26" s="33">
        <f>171273745.71/1000</f>
        <v>171273.74571000002</v>
      </c>
      <c r="AB26" s="33">
        <v>627301.01575999998</v>
      </c>
      <c r="AC26" s="33">
        <f>484902283.929999/1000</f>
        <v>484902.28392999899</v>
      </c>
      <c r="AD26" s="33">
        <f>309428987.46/1000</f>
        <v>309428.98745999997</v>
      </c>
      <c r="AE26" s="33">
        <v>141058</v>
      </c>
      <c r="AF26" s="1"/>
      <c r="AG26" s="1"/>
      <c r="AH26" s="1"/>
      <c r="AI26" s="1"/>
    </row>
    <row r="27" spans="1:35" ht="12.75" customHeight="1" x14ac:dyDescent="0.25">
      <c r="A27" s="30" t="s">
        <v>88</v>
      </c>
      <c r="B27" s="34">
        <v>0.27210000000000001</v>
      </c>
      <c r="C27" s="34">
        <v>0.2447</v>
      </c>
      <c r="D27" s="34">
        <v>0.31730000000000003</v>
      </c>
      <c r="E27" s="34">
        <v>0.31040000000000001</v>
      </c>
      <c r="F27" s="34">
        <v>0.29720000000000002</v>
      </c>
      <c r="G27" s="34">
        <v>0.32500000000000001</v>
      </c>
      <c r="H27" s="34">
        <v>0.32719999999999999</v>
      </c>
      <c r="I27" s="34">
        <v>0.33839999999999998</v>
      </c>
      <c r="J27" s="34">
        <v>0.30669999999999997</v>
      </c>
      <c r="K27" s="34">
        <v>0.32300000000000001</v>
      </c>
      <c r="L27" s="34">
        <v>0.34620000000000001</v>
      </c>
      <c r="M27" s="34">
        <v>0.33703516279580875</v>
      </c>
      <c r="N27" s="34">
        <v>0.30706069939115421</v>
      </c>
      <c r="O27" s="34">
        <v>0.29899999999999999</v>
      </c>
      <c r="P27" s="34">
        <v>0.31263035381342003</v>
      </c>
      <c r="Q27" s="34">
        <v>0.3</v>
      </c>
      <c r="R27" s="34">
        <v>0.32740000000000002</v>
      </c>
      <c r="S27" s="34">
        <v>0.23760000000000001</v>
      </c>
      <c r="T27" s="34">
        <v>0.264103429785779</v>
      </c>
      <c r="U27" s="34">
        <v>0.29899999999999999</v>
      </c>
      <c r="V27" s="34">
        <v>0.30163394890377498</v>
      </c>
      <c r="W27" s="34">
        <v>0.27162358964878702</v>
      </c>
      <c r="X27" s="34">
        <v>0.31490000000000001</v>
      </c>
      <c r="Y27" s="34">
        <v>0.31806695634352489</v>
      </c>
      <c r="Z27" s="34">
        <v>0.29358783438063979</v>
      </c>
      <c r="AA27" s="34">
        <f>AA26/AA8</f>
        <v>0.30030684484018944</v>
      </c>
      <c r="AB27" s="34">
        <v>0.27922456585293298</v>
      </c>
      <c r="AC27" s="34">
        <v>0.28952274059591904</v>
      </c>
      <c r="AD27" s="34">
        <v>0.29474604494857976</v>
      </c>
      <c r="AE27" s="34">
        <v>0.27283136277940562</v>
      </c>
      <c r="AF27" s="1"/>
      <c r="AG27" s="1"/>
      <c r="AH27" s="1"/>
      <c r="AI27" s="1"/>
    </row>
    <row r="28" spans="1:35" x14ac:dyDescent="0.25">
      <c r="AB28" s="35"/>
      <c r="AC28" s="35"/>
      <c r="AD28" s="35"/>
    </row>
    <row r="29" spans="1:35" x14ac:dyDescent="0.25"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5" x14ac:dyDescent="0.25"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35"/>
      <c r="AC30" s="35"/>
      <c r="AD30" s="35"/>
      <c r="AE30" s="35"/>
    </row>
    <row r="31" spans="1:35" x14ac:dyDescent="0.25">
      <c r="G31" s="35"/>
      <c r="H31" s="35"/>
      <c r="I31" s="35"/>
      <c r="J31" s="35"/>
      <c r="K31" s="35"/>
      <c r="L31" s="35"/>
    </row>
    <row r="32" spans="1:35" x14ac:dyDescent="0.25">
      <c r="C32" s="177"/>
      <c r="D32" s="178"/>
      <c r="E32" s="177"/>
      <c r="F32" s="177"/>
      <c r="AB32" s="35"/>
      <c r="AC32" s="35"/>
      <c r="AE32" s="35"/>
    </row>
    <row r="33" spans="3:31" x14ac:dyDescent="0.25">
      <c r="C33" s="178"/>
      <c r="D33" s="178"/>
      <c r="E33" s="178"/>
      <c r="F33" s="178"/>
      <c r="L33" s="35"/>
      <c r="AE33" s="35"/>
    </row>
    <row r="34" spans="3:31" x14ac:dyDescent="0.25">
      <c r="C34" s="179"/>
      <c r="D34" s="178"/>
      <c r="E34" s="178"/>
      <c r="F34" s="178"/>
    </row>
    <row r="35" spans="3:31" x14ac:dyDescent="0.25">
      <c r="C35" s="179"/>
      <c r="D35" s="178"/>
      <c r="E35" s="178"/>
      <c r="F35" s="178"/>
    </row>
    <row r="36" spans="3:31" x14ac:dyDescent="0.25">
      <c r="C36" s="179"/>
      <c r="D36" s="178"/>
      <c r="E36" s="178"/>
      <c r="F36" s="178"/>
    </row>
    <row r="37" spans="3:31" x14ac:dyDescent="0.25">
      <c r="C37" s="179"/>
      <c r="D37" s="178"/>
      <c r="E37" s="178"/>
      <c r="F37" s="178"/>
    </row>
    <row r="38" spans="3:31" x14ac:dyDescent="0.25">
      <c r="C38" s="179"/>
      <c r="D38" s="178"/>
      <c r="E38" s="178"/>
      <c r="F38" s="178"/>
    </row>
    <row r="39" spans="3:31" x14ac:dyDescent="0.25">
      <c r="C39" s="179"/>
      <c r="D39" s="178"/>
      <c r="E39" s="178"/>
      <c r="F39" s="178"/>
    </row>
    <row r="40" spans="3:31" x14ac:dyDescent="0.25">
      <c r="C40" s="179"/>
      <c r="D40" s="178"/>
      <c r="E40" s="178"/>
      <c r="F40" s="178"/>
    </row>
    <row r="41" spans="3:31" x14ac:dyDescent="0.25">
      <c r="C41" s="179"/>
      <c r="D41" s="178"/>
      <c r="E41" s="178"/>
      <c r="F41" s="178"/>
    </row>
    <row r="42" spans="3:31" x14ac:dyDescent="0.25">
      <c r="C42" s="179"/>
      <c r="D42" s="178"/>
      <c r="E42" s="178"/>
      <c r="F42" s="178"/>
    </row>
    <row r="43" spans="3:31" x14ac:dyDescent="0.25">
      <c r="C43" s="179"/>
      <c r="D43" s="178"/>
      <c r="E43" s="178"/>
      <c r="F43" s="178"/>
    </row>
    <row r="44" spans="3:31" x14ac:dyDescent="0.25">
      <c r="C44" s="179"/>
      <c r="D44" s="178"/>
      <c r="E44" s="178"/>
      <c r="F44" s="178"/>
    </row>
  </sheetData>
  <phoneticPr fontId="29" type="noConversion"/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ignoredErrors>
    <ignoredError sqref="C20:F20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08080"/>
  </sheetPr>
  <dimension ref="A1:AMY35"/>
  <sheetViews>
    <sheetView showGridLines="0" zoomScale="90" zoomScaleNormal="90" workbookViewId="0">
      <pane xSplit="1" ySplit="7" topLeftCell="B8" activePane="bottomRight" state="frozen"/>
      <selection pane="topRight" activeCell="B1" sqref="B1"/>
      <selection pane="bottomLeft" activeCell="A19" sqref="A19"/>
      <selection pane="bottomRight"/>
    </sheetView>
  </sheetViews>
  <sheetFormatPr defaultColWidth="8.7109375" defaultRowHeight="15" x14ac:dyDescent="0.25"/>
  <cols>
    <col min="1" max="1" width="62.7109375" bestFit="1" customWidth="1"/>
    <col min="2" max="2" width="12.28515625" customWidth="1"/>
    <col min="3" max="3" width="9.5703125" bestFit="1" customWidth="1"/>
    <col min="4" max="4" width="14.85546875" bestFit="1" customWidth="1"/>
    <col min="5" max="5" width="13.5703125" bestFit="1" customWidth="1"/>
    <col min="6" max="6" width="12" customWidth="1"/>
    <col min="7" max="11" width="11.85546875" customWidth="1"/>
    <col min="12" max="12" width="11.140625" style="113" bestFit="1" customWidth="1"/>
    <col min="13" max="14" width="11.140625" bestFit="1" customWidth="1"/>
    <col min="15" max="15" width="9.5703125" bestFit="1" customWidth="1"/>
    <col min="16" max="16" width="11.140625" style="113" bestFit="1" customWidth="1"/>
    <col min="17" max="18" width="11.140625" style="36" bestFit="1" customWidth="1"/>
    <col min="19" max="19" width="9.5703125" style="36" bestFit="1" customWidth="1"/>
    <col min="20" max="20" width="11.140625" style="118" bestFit="1" customWidth="1"/>
    <col min="21" max="21" width="11.140625" style="36" bestFit="1" customWidth="1"/>
    <col min="22" max="22" width="11.140625" bestFit="1" customWidth="1"/>
    <col min="23" max="23" width="9.5703125" bestFit="1" customWidth="1"/>
    <col min="24" max="24" width="11.140625" style="113" bestFit="1" customWidth="1"/>
    <col min="25" max="25" width="11.140625" style="36" bestFit="1" customWidth="1"/>
    <col min="26" max="26" width="11.140625" bestFit="1" customWidth="1"/>
    <col min="27" max="27" width="9.5703125" bestFit="1" customWidth="1"/>
    <col min="28" max="28" width="11.140625" style="113" bestFit="1" customWidth="1"/>
    <col min="29" max="29" width="11.140625" style="36" bestFit="1" customWidth="1"/>
    <col min="30" max="30" width="11.140625" bestFit="1" customWidth="1"/>
    <col min="31" max="31" width="9.5703125" bestFit="1" customWidth="1"/>
    <col min="32" max="34" width="10.5703125" customWidth="1"/>
    <col min="37" max="1039" width="8.7109375" hidden="1"/>
    <col min="1040" max="1042" width="11.5703125" customWidth="1"/>
  </cols>
  <sheetData>
    <row r="1" spans="1:32" ht="18" customHeight="1" x14ac:dyDescent="0.25">
      <c r="A1" s="1"/>
      <c r="B1" s="1"/>
      <c r="C1" s="1"/>
      <c r="D1" s="1"/>
      <c r="E1" s="1"/>
      <c r="F1" s="1"/>
      <c r="L1"/>
      <c r="P1"/>
      <c r="Q1"/>
      <c r="R1"/>
      <c r="S1"/>
      <c r="T1"/>
      <c r="U1"/>
      <c r="X1"/>
      <c r="Y1"/>
      <c r="AB1"/>
      <c r="AC1"/>
    </row>
    <row r="2" spans="1:32" ht="18" customHeight="1" x14ac:dyDescent="0.25">
      <c r="A2" s="1"/>
      <c r="B2" s="1"/>
      <c r="C2" s="1"/>
      <c r="D2" s="1"/>
      <c r="E2" s="1"/>
      <c r="F2" s="1"/>
      <c r="L2"/>
      <c r="P2"/>
      <c r="Q2"/>
      <c r="R2"/>
      <c r="S2"/>
      <c r="T2"/>
      <c r="U2"/>
      <c r="X2"/>
      <c r="Y2"/>
      <c r="AB2"/>
      <c r="AC2"/>
    </row>
    <row r="3" spans="1:32" ht="18" customHeight="1" x14ac:dyDescent="0.25">
      <c r="A3" s="1"/>
      <c r="B3" s="1"/>
      <c r="C3" s="1"/>
      <c r="D3" s="1"/>
      <c r="E3" s="1"/>
      <c r="F3" s="1"/>
      <c r="L3"/>
      <c r="P3"/>
      <c r="Q3"/>
      <c r="R3"/>
      <c r="S3"/>
      <c r="T3"/>
      <c r="U3"/>
      <c r="X3"/>
      <c r="Y3"/>
      <c r="AB3"/>
      <c r="AC3"/>
    </row>
    <row r="4" spans="1:32" ht="48" customHeight="1" x14ac:dyDescent="0.25">
      <c r="A4" s="1"/>
      <c r="B4" s="1"/>
      <c r="C4" s="1"/>
      <c r="D4" s="1"/>
      <c r="E4" s="1"/>
      <c r="F4" s="1"/>
      <c r="L4"/>
      <c r="P4"/>
      <c r="Q4"/>
      <c r="R4"/>
      <c r="S4"/>
      <c r="T4"/>
      <c r="U4"/>
      <c r="X4"/>
      <c r="Y4"/>
      <c r="AB4"/>
      <c r="AC4"/>
    </row>
    <row r="5" spans="1:32" ht="15.75" customHeight="1" x14ac:dyDescent="0.25">
      <c r="A5" s="1"/>
      <c r="B5" s="1"/>
      <c r="C5" s="1"/>
      <c r="D5" s="1"/>
      <c r="E5" s="1"/>
      <c r="F5" s="1"/>
      <c r="L5"/>
      <c r="P5"/>
      <c r="Q5"/>
      <c r="R5"/>
      <c r="S5"/>
      <c r="T5"/>
      <c r="U5"/>
      <c r="X5"/>
      <c r="Y5"/>
      <c r="AB5"/>
      <c r="AC5"/>
    </row>
    <row r="6" spans="1:32" ht="15.75" customHeight="1" x14ac:dyDescent="0.25">
      <c r="A6" s="9" t="s">
        <v>69</v>
      </c>
      <c r="B6" s="9"/>
      <c r="C6" s="9"/>
      <c r="D6" s="9"/>
      <c r="E6" s="9"/>
      <c r="F6" s="9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1"/>
    </row>
    <row r="7" spans="1:32" ht="15.75" customHeight="1" x14ac:dyDescent="0.25">
      <c r="A7" s="8" t="s">
        <v>2</v>
      </c>
      <c r="B7" s="10" t="s">
        <v>278</v>
      </c>
      <c r="C7" s="10" t="s">
        <v>275</v>
      </c>
      <c r="D7" s="10" t="s">
        <v>274</v>
      </c>
      <c r="E7" s="10" t="s">
        <v>270</v>
      </c>
      <c r="F7" s="10" t="s">
        <v>269</v>
      </c>
      <c r="G7" s="10" t="s">
        <v>265</v>
      </c>
      <c r="H7" s="10" t="s">
        <v>263</v>
      </c>
      <c r="I7" s="10" t="s">
        <v>262</v>
      </c>
      <c r="J7" s="10" t="s">
        <v>260</v>
      </c>
      <c r="K7" s="10" t="s">
        <v>257</v>
      </c>
      <c r="L7" s="10" t="s">
        <v>255</v>
      </c>
      <c r="M7" s="10" t="s">
        <v>254</v>
      </c>
      <c r="N7" s="10" t="s">
        <v>250</v>
      </c>
      <c r="O7" s="10" t="s">
        <v>246</v>
      </c>
      <c r="P7" s="10" t="s">
        <v>3</v>
      </c>
      <c r="Q7" s="10" t="s">
        <v>4</v>
      </c>
      <c r="R7" s="10" t="s">
        <v>5</v>
      </c>
      <c r="S7" s="10" t="s">
        <v>6</v>
      </c>
      <c r="T7" s="10" t="s">
        <v>7</v>
      </c>
      <c r="U7" s="10" t="s">
        <v>8</v>
      </c>
      <c r="V7" s="10" t="s">
        <v>9</v>
      </c>
      <c r="W7" s="10" t="s">
        <v>10</v>
      </c>
      <c r="X7" s="10" t="s">
        <v>11</v>
      </c>
      <c r="Y7" s="10" t="s">
        <v>194</v>
      </c>
      <c r="Z7" s="10" t="s">
        <v>195</v>
      </c>
      <c r="AA7" s="10" t="s">
        <v>196</v>
      </c>
      <c r="AB7" s="10" t="s">
        <v>12</v>
      </c>
      <c r="AC7" s="10" t="s">
        <v>197</v>
      </c>
      <c r="AD7" s="10" t="s">
        <v>198</v>
      </c>
      <c r="AE7" s="10" t="s">
        <v>199</v>
      </c>
    </row>
    <row r="8" spans="1:32" ht="13.5" customHeight="1" x14ac:dyDescent="0.25">
      <c r="A8" s="25" t="s">
        <v>89</v>
      </c>
      <c r="B8" s="168">
        <f t="shared" ref="B8" si="0">SUM(B9:B12)</f>
        <v>2127369</v>
      </c>
      <c r="C8" s="21">
        <f t="shared" ref="C8:G8" si="1">SUM(C9:C12)</f>
        <v>976312</v>
      </c>
      <c r="D8" s="21">
        <f t="shared" si="1"/>
        <v>4184566</v>
      </c>
      <c r="E8" s="21">
        <f t="shared" si="1"/>
        <v>3015161</v>
      </c>
      <c r="F8" s="21">
        <f t="shared" si="1"/>
        <v>1915622</v>
      </c>
      <c r="G8" s="21">
        <f t="shared" si="1"/>
        <v>922071</v>
      </c>
      <c r="H8" s="21">
        <f t="shared" ref="H8:I8" si="2">SUM(H9:H12)</f>
        <v>3852135</v>
      </c>
      <c r="I8" s="21">
        <f t="shared" si="2"/>
        <v>2913007</v>
      </c>
      <c r="J8" s="21">
        <f t="shared" ref="J8:K8" si="3">SUM(J9:J12)</f>
        <v>1895361</v>
      </c>
      <c r="K8" s="21">
        <f t="shared" si="3"/>
        <v>955116</v>
      </c>
      <c r="L8" s="21">
        <f t="shared" ref="L8" si="4">SUM(L9:L12)</f>
        <v>3481286</v>
      </c>
      <c r="M8" s="21">
        <f t="shared" ref="M8" si="5">SUM(M9:M12)</f>
        <v>2483546</v>
      </c>
      <c r="N8" s="21">
        <f t="shared" ref="N8" si="6">SUM(N9:N12)</f>
        <v>1578290</v>
      </c>
      <c r="O8" s="21">
        <f t="shared" ref="O8" si="7">SUM(O9:O12)</f>
        <v>739836</v>
      </c>
      <c r="P8" s="21">
        <f t="shared" ref="P8" si="8">SUM(P9:P12)</f>
        <v>3049341</v>
      </c>
      <c r="Q8" s="21">
        <f t="shared" ref="Q8" si="9">SUM(Q9:Q12)</f>
        <v>2254268</v>
      </c>
      <c r="R8" s="21">
        <f t="shared" ref="R8" si="10">SUM(R9:R12)</f>
        <v>1418810</v>
      </c>
      <c r="S8" s="21">
        <f t="shared" ref="S8:AB8" si="11">SUM(S9:S12)</f>
        <v>660416</v>
      </c>
      <c r="T8" s="21">
        <f t="shared" ref="T8" si="12">SUM(T9:T12)</f>
        <v>2553340</v>
      </c>
      <c r="U8" s="21">
        <f t="shared" si="11"/>
        <v>1887437</v>
      </c>
      <c r="V8" s="21">
        <f t="shared" si="11"/>
        <v>1217686</v>
      </c>
      <c r="W8" s="21">
        <f t="shared" si="11"/>
        <v>591850</v>
      </c>
      <c r="X8" s="21">
        <f t="shared" si="11"/>
        <v>2541759</v>
      </c>
      <c r="Y8" s="21">
        <f t="shared" si="11"/>
        <v>1881723</v>
      </c>
      <c r="Z8" s="21">
        <f t="shared" si="11"/>
        <v>1198733</v>
      </c>
      <c r="AA8" s="21">
        <f t="shared" si="11"/>
        <v>599619</v>
      </c>
      <c r="AB8" s="21">
        <f t="shared" si="11"/>
        <v>2390889</v>
      </c>
      <c r="AC8" s="21">
        <f t="shared" ref="AC8:AE8" si="13">SUM(AC9:AC12)</f>
        <v>1792574</v>
      </c>
      <c r="AD8" s="21">
        <f t="shared" si="13"/>
        <v>1127119</v>
      </c>
      <c r="AE8" s="21">
        <f t="shared" si="13"/>
        <v>549432</v>
      </c>
    </row>
    <row r="9" spans="1:32" ht="13.5" customHeight="1" x14ac:dyDescent="0.25">
      <c r="A9" s="26" t="s">
        <v>271</v>
      </c>
      <c r="B9" s="170">
        <v>1799282</v>
      </c>
      <c r="C9" s="27">
        <v>847035</v>
      </c>
      <c r="D9" s="27">
        <v>3552023</v>
      </c>
      <c r="E9" s="27">
        <v>2626416</v>
      </c>
      <c r="F9" s="27">
        <v>1694305</v>
      </c>
      <c r="G9" s="27">
        <v>819474</v>
      </c>
      <c r="H9" s="27">
        <v>3293578</v>
      </c>
      <c r="I9" s="27">
        <v>2468124</v>
      </c>
      <c r="J9" s="27">
        <v>1582909</v>
      </c>
      <c r="K9" s="27">
        <v>762870</v>
      </c>
      <c r="L9" s="27">
        <v>3056420</v>
      </c>
      <c r="M9" s="27">
        <v>2233066</v>
      </c>
      <c r="N9" s="27">
        <v>1423756</v>
      </c>
      <c r="O9" s="27">
        <v>665804</v>
      </c>
      <c r="P9" s="27">
        <v>2751479</v>
      </c>
      <c r="Q9" s="27">
        <v>2056493</v>
      </c>
      <c r="R9" s="27">
        <v>1320398</v>
      </c>
      <c r="S9" s="27">
        <v>633331</v>
      </c>
      <c r="T9" s="27">
        <v>2442420</v>
      </c>
      <c r="U9" s="27">
        <v>1808279</v>
      </c>
      <c r="V9" s="27">
        <v>1165119</v>
      </c>
      <c r="W9" s="27">
        <v>566573</v>
      </c>
      <c r="X9" s="27">
        <v>2360900</v>
      </c>
      <c r="Y9" s="27">
        <v>1744722</v>
      </c>
      <c r="Z9" s="27">
        <v>1116407</v>
      </c>
      <c r="AA9" s="27">
        <v>567599</v>
      </c>
      <c r="AB9" s="27">
        <v>2235315</v>
      </c>
      <c r="AC9" s="27">
        <v>1666284</v>
      </c>
      <c r="AD9" s="27">
        <v>1044190</v>
      </c>
      <c r="AE9" s="27">
        <v>514215</v>
      </c>
    </row>
    <row r="10" spans="1:32" x14ac:dyDescent="0.25">
      <c r="A10" s="30" t="s">
        <v>90</v>
      </c>
      <c r="B10" s="167">
        <v>328087</v>
      </c>
      <c r="C10" s="19">
        <v>129277</v>
      </c>
      <c r="D10" s="19">
        <v>632543</v>
      </c>
      <c r="E10" s="19">
        <v>388745</v>
      </c>
      <c r="F10" s="19">
        <v>221317</v>
      </c>
      <c r="G10" s="19">
        <v>102597</v>
      </c>
      <c r="H10" s="19">
        <v>547090</v>
      </c>
      <c r="I10" s="19">
        <v>436227</v>
      </c>
      <c r="J10" s="19">
        <v>306698</v>
      </c>
      <c r="K10" s="19">
        <v>189412</v>
      </c>
      <c r="L10" s="19">
        <v>413413</v>
      </c>
      <c r="M10" s="19">
        <v>241884</v>
      </c>
      <c r="N10" s="19">
        <v>148802</v>
      </c>
      <c r="O10" s="19">
        <v>71166</v>
      </c>
      <c r="P10" s="19">
        <v>286464</v>
      </c>
      <c r="Q10" s="19">
        <v>189115</v>
      </c>
      <c r="R10" s="19">
        <v>92721</v>
      </c>
      <c r="S10" s="19">
        <v>24237</v>
      </c>
      <c r="T10" s="19">
        <v>99395</v>
      </c>
      <c r="U10" s="19">
        <v>70412</v>
      </c>
      <c r="V10" s="19">
        <v>46745</v>
      </c>
      <c r="W10" s="19">
        <v>22519</v>
      </c>
      <c r="X10" s="19">
        <v>169996</v>
      </c>
      <c r="Y10" s="19">
        <v>128823</v>
      </c>
      <c r="Z10" s="19">
        <v>76904</v>
      </c>
      <c r="AA10" s="19">
        <v>29290</v>
      </c>
      <c r="AB10" s="19">
        <v>144307</v>
      </c>
      <c r="AC10" s="19">
        <v>117742</v>
      </c>
      <c r="AD10" s="19">
        <v>77303</v>
      </c>
      <c r="AE10" s="19">
        <v>32415</v>
      </c>
    </row>
    <row r="11" spans="1:32" ht="13.5" customHeight="1" x14ac:dyDescent="0.25">
      <c r="A11" s="26" t="s">
        <v>272</v>
      </c>
      <c r="B11" s="170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2367</v>
      </c>
      <c r="I11" s="27">
        <v>1831</v>
      </c>
      <c r="J11" s="27">
        <v>1204</v>
      </c>
      <c r="K11" s="27">
        <v>559</v>
      </c>
      <c r="L11" s="27">
        <v>2353</v>
      </c>
      <c r="M11" s="27">
        <v>1771</v>
      </c>
      <c r="N11" s="27">
        <v>1182</v>
      </c>
      <c r="O11" s="27">
        <v>591</v>
      </c>
      <c r="P11" s="27">
        <v>2298</v>
      </c>
      <c r="Q11" s="27">
        <v>1835</v>
      </c>
      <c r="R11" s="27">
        <v>1141</v>
      </c>
      <c r="S11" s="27">
        <v>573</v>
      </c>
      <c r="T11" s="27">
        <v>2425</v>
      </c>
      <c r="U11" s="27">
        <v>1921</v>
      </c>
      <c r="V11" s="27">
        <v>1272</v>
      </c>
      <c r="W11" s="27">
        <v>483</v>
      </c>
      <c r="X11" s="27">
        <v>1763</v>
      </c>
      <c r="Y11" s="27">
        <v>1353</v>
      </c>
      <c r="Z11" s="27">
        <v>872</v>
      </c>
      <c r="AA11" s="27">
        <v>455</v>
      </c>
      <c r="AB11" s="27">
        <v>2167</v>
      </c>
      <c r="AC11" s="27">
        <v>1723</v>
      </c>
      <c r="AD11" s="27">
        <v>1076</v>
      </c>
      <c r="AE11" s="27">
        <v>527</v>
      </c>
    </row>
    <row r="12" spans="1:32" x14ac:dyDescent="0.25">
      <c r="A12" s="30" t="s">
        <v>273</v>
      </c>
      <c r="B12" s="167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9100</v>
      </c>
      <c r="I12" s="19">
        <v>6825</v>
      </c>
      <c r="J12" s="19">
        <v>4550</v>
      </c>
      <c r="K12" s="19">
        <v>2275</v>
      </c>
      <c r="L12" s="19">
        <v>9100</v>
      </c>
      <c r="M12" s="19">
        <v>6825</v>
      </c>
      <c r="N12" s="19">
        <v>4550</v>
      </c>
      <c r="O12" s="19">
        <v>2275</v>
      </c>
      <c r="P12" s="19">
        <v>9100</v>
      </c>
      <c r="Q12" s="19">
        <v>6825</v>
      </c>
      <c r="R12" s="19">
        <v>4550</v>
      </c>
      <c r="S12" s="19">
        <v>2275</v>
      </c>
      <c r="T12" s="19">
        <v>9100</v>
      </c>
      <c r="U12" s="19">
        <v>6825</v>
      </c>
      <c r="V12" s="19">
        <v>4550</v>
      </c>
      <c r="W12" s="19">
        <v>2275</v>
      </c>
      <c r="X12" s="19">
        <v>9100</v>
      </c>
      <c r="Y12" s="19">
        <v>6825</v>
      </c>
      <c r="Z12" s="19">
        <v>4550</v>
      </c>
      <c r="AA12" s="19">
        <v>2275</v>
      </c>
      <c r="AB12" s="19">
        <v>9100</v>
      </c>
      <c r="AC12" s="19">
        <v>6825</v>
      </c>
      <c r="AD12" s="19">
        <v>4550</v>
      </c>
      <c r="AE12" s="19">
        <v>2275</v>
      </c>
    </row>
    <row r="13" spans="1:32" ht="13.5" customHeight="1" x14ac:dyDescent="0.25">
      <c r="A13" s="25" t="s">
        <v>93</v>
      </c>
      <c r="B13" s="168">
        <f t="shared" ref="B13" si="14">SUM(B14:B15)</f>
        <v>-1148961</v>
      </c>
      <c r="C13" s="21">
        <f t="shared" ref="C13:G13" si="15">SUM(C14:C15)</f>
        <v>-541256</v>
      </c>
      <c r="D13" s="21">
        <f t="shared" si="15"/>
        <v>-2201098</v>
      </c>
      <c r="E13" s="21">
        <f t="shared" si="15"/>
        <v>-1556364</v>
      </c>
      <c r="F13" s="21">
        <f t="shared" si="15"/>
        <v>-969751</v>
      </c>
      <c r="G13" s="21">
        <f t="shared" si="15"/>
        <v>-463699</v>
      </c>
      <c r="H13" s="21">
        <f t="shared" ref="H13:I13" si="16">SUM(H14:H15)</f>
        <v>-1994151</v>
      </c>
      <c r="I13" s="21">
        <f t="shared" si="16"/>
        <v>-1483156</v>
      </c>
      <c r="J13" s="21">
        <f t="shared" ref="J13:K13" si="17">SUM(J14:J15)</f>
        <v>-998983</v>
      </c>
      <c r="K13" s="21">
        <f t="shared" si="17"/>
        <v>-528479</v>
      </c>
      <c r="L13" s="21">
        <f t="shared" ref="L13" si="18">SUM(L14:L15)</f>
        <v>-1683965</v>
      </c>
      <c r="M13" s="21">
        <f t="shared" ref="M13" si="19">SUM(M14:M15)</f>
        <v>-1166038</v>
      </c>
      <c r="N13" s="21">
        <f t="shared" ref="N13" si="20">SUM(N14:N15)</f>
        <v>-754857</v>
      </c>
      <c r="O13" s="21">
        <f t="shared" ref="O13" si="21">SUM(O14:O15)</f>
        <v>-374766</v>
      </c>
      <c r="P13" s="21">
        <f t="shared" ref="P13" si="22">SUM(P14:P15)</f>
        <v>-1552828</v>
      </c>
      <c r="Q13" s="21">
        <f t="shared" ref="Q13" si="23">SUM(Q14:Q15)</f>
        <v>-1168414</v>
      </c>
      <c r="R13" s="21">
        <f t="shared" ref="R13" si="24">SUM(R14:R15)</f>
        <v>-768170</v>
      </c>
      <c r="S13" s="21">
        <f t="shared" ref="S13:AB13" si="25">SUM(S14:S15)</f>
        <v>-385853</v>
      </c>
      <c r="T13" s="21">
        <f t="shared" ref="T13" si="26">SUM(T14:T15)</f>
        <v>-1239081</v>
      </c>
      <c r="U13" s="21">
        <f t="shared" si="25"/>
        <v>-892359</v>
      </c>
      <c r="V13" s="21">
        <f t="shared" si="25"/>
        <v>-591828</v>
      </c>
      <c r="W13" s="21">
        <f t="shared" si="25"/>
        <v>-298049</v>
      </c>
      <c r="X13" s="21">
        <f t="shared" si="25"/>
        <v>-1228638</v>
      </c>
      <c r="Y13" s="21">
        <f t="shared" si="25"/>
        <v>-903817</v>
      </c>
      <c r="Z13" s="21">
        <f t="shared" si="25"/>
        <v>-594304</v>
      </c>
      <c r="AA13" s="21">
        <f t="shared" si="25"/>
        <v>-282689</v>
      </c>
      <c r="AB13" s="21">
        <f t="shared" si="25"/>
        <v>-1196069</v>
      </c>
      <c r="AC13" s="21">
        <f t="shared" ref="AC13:AE13" si="27">SUM(AC14:AC15)</f>
        <v>-1005835</v>
      </c>
      <c r="AD13" s="21">
        <f t="shared" si="27"/>
        <v>-639409</v>
      </c>
      <c r="AE13" s="21">
        <f t="shared" si="27"/>
        <v>-321313</v>
      </c>
    </row>
    <row r="14" spans="1:32" ht="13.5" customHeight="1" x14ac:dyDescent="0.25">
      <c r="A14" s="26" t="s">
        <v>94</v>
      </c>
      <c r="B14" s="170">
        <v>-820874</v>
      </c>
      <c r="C14" s="27">
        <v>-411979</v>
      </c>
      <c r="D14" s="27">
        <v>-1568555</v>
      </c>
      <c r="E14" s="27">
        <v>-1167619</v>
      </c>
      <c r="F14" s="27">
        <v>-748434</v>
      </c>
      <c r="G14" s="27">
        <v>-361102</v>
      </c>
      <c r="H14" s="27">
        <v>-1447061</v>
      </c>
      <c r="I14" s="27">
        <v>-1046929</v>
      </c>
      <c r="J14" s="27">
        <v>-692285</v>
      </c>
      <c r="K14" s="27">
        <v>-339067</v>
      </c>
      <c r="L14" s="27">
        <v>-1270552</v>
      </c>
      <c r="M14" s="27">
        <v>-924154</v>
      </c>
      <c r="N14" s="27">
        <v>-606055</v>
      </c>
      <c r="O14" s="27">
        <v>-303600</v>
      </c>
      <c r="P14" s="27">
        <v>-1266364</v>
      </c>
      <c r="Q14" s="27">
        <v>-979299</v>
      </c>
      <c r="R14" s="27">
        <v>-675449</v>
      </c>
      <c r="S14" s="27">
        <v>-361616</v>
      </c>
      <c r="T14" s="27">
        <v>-1139686</v>
      </c>
      <c r="U14" s="27">
        <v>-821947</v>
      </c>
      <c r="V14" s="27">
        <v>-545083</v>
      </c>
      <c r="W14" s="27">
        <v>-275530</v>
      </c>
      <c r="X14" s="27">
        <v>-1058642</v>
      </c>
      <c r="Y14" s="27">
        <v>-774994</v>
      </c>
      <c r="Z14" s="27">
        <v>-517400</v>
      </c>
      <c r="AA14" s="27">
        <v>-253399</v>
      </c>
      <c r="AB14" s="27">
        <v>-1051762</v>
      </c>
      <c r="AC14" s="27">
        <v>-888093</v>
      </c>
      <c r="AD14" s="27">
        <v>-562106</v>
      </c>
      <c r="AE14" s="27">
        <v>-288898</v>
      </c>
    </row>
    <row r="15" spans="1:32" x14ac:dyDescent="0.25">
      <c r="A15" s="30" t="s">
        <v>95</v>
      </c>
      <c r="B15" s="167">
        <v>-328087</v>
      </c>
      <c r="C15" s="19">
        <v>-129277</v>
      </c>
      <c r="D15" s="19">
        <v>-632543</v>
      </c>
      <c r="E15" s="19">
        <v>-388745</v>
      </c>
      <c r="F15" s="19">
        <v>-221317</v>
      </c>
      <c r="G15" s="19">
        <v>-102597</v>
      </c>
      <c r="H15" s="19">
        <v>-547090</v>
      </c>
      <c r="I15" s="19">
        <v>-436227</v>
      </c>
      <c r="J15" s="19">
        <v>-306698</v>
      </c>
      <c r="K15" s="19">
        <v>-189412</v>
      </c>
      <c r="L15" s="19">
        <v>-413413</v>
      </c>
      <c r="M15" s="19">
        <v>-241884</v>
      </c>
      <c r="N15" s="19">
        <v>-148802</v>
      </c>
      <c r="O15" s="19">
        <v>-71166</v>
      </c>
      <c r="P15" s="19">
        <v>-286464</v>
      </c>
      <c r="Q15" s="19">
        <v>-189115</v>
      </c>
      <c r="R15" s="19">
        <v>-92721</v>
      </c>
      <c r="S15" s="19">
        <v>-24237</v>
      </c>
      <c r="T15" s="19">
        <v>-99395</v>
      </c>
      <c r="U15" s="19">
        <v>-70412</v>
      </c>
      <c r="V15" s="19">
        <v>-46745</v>
      </c>
      <c r="W15" s="19">
        <v>-22519</v>
      </c>
      <c r="X15" s="19">
        <v>-169996</v>
      </c>
      <c r="Y15" s="19">
        <v>-128823</v>
      </c>
      <c r="Z15" s="19">
        <v>-76904</v>
      </c>
      <c r="AA15" s="19">
        <v>-29290</v>
      </c>
      <c r="AB15" s="19">
        <v>-144307</v>
      </c>
      <c r="AC15" s="19">
        <v>-117742</v>
      </c>
      <c r="AD15" s="19">
        <v>-77303</v>
      </c>
      <c r="AE15" s="19">
        <v>-32415</v>
      </c>
    </row>
    <row r="16" spans="1:32" ht="13.5" customHeight="1" x14ac:dyDescent="0.25">
      <c r="A16" s="25" t="s">
        <v>96</v>
      </c>
      <c r="B16" s="168">
        <f t="shared" ref="B16" si="28">(B8+B13)</f>
        <v>978408</v>
      </c>
      <c r="C16" s="21">
        <f t="shared" ref="C16:H16" si="29">(C8+C13)</f>
        <v>435056</v>
      </c>
      <c r="D16" s="21">
        <f t="shared" si="29"/>
        <v>1983468</v>
      </c>
      <c r="E16" s="21">
        <f t="shared" si="29"/>
        <v>1458797</v>
      </c>
      <c r="F16" s="21">
        <f t="shared" si="29"/>
        <v>945871</v>
      </c>
      <c r="G16" s="21">
        <f t="shared" si="29"/>
        <v>458372</v>
      </c>
      <c r="H16" s="21">
        <f t="shared" si="29"/>
        <v>1857984</v>
      </c>
      <c r="I16" s="21">
        <f t="shared" ref="I16:J16" si="30">(I8+I13)</f>
        <v>1429851</v>
      </c>
      <c r="J16" s="21">
        <f t="shared" si="30"/>
        <v>896378</v>
      </c>
      <c r="K16" s="21">
        <f t="shared" ref="K16:N16" si="31">(K8+K13)</f>
        <v>426637</v>
      </c>
      <c r="L16" s="21">
        <f t="shared" si="31"/>
        <v>1797321</v>
      </c>
      <c r="M16" s="21">
        <f t="shared" si="31"/>
        <v>1317508</v>
      </c>
      <c r="N16" s="21">
        <f t="shared" si="31"/>
        <v>823433</v>
      </c>
      <c r="O16" s="21">
        <f t="shared" ref="O16" si="32">(O8+O13)</f>
        <v>365070</v>
      </c>
      <c r="P16" s="21">
        <f t="shared" ref="P16" si="33">(P8+P13)</f>
        <v>1496513</v>
      </c>
      <c r="Q16" s="21">
        <f t="shared" ref="Q16" si="34">(Q8+Q13)</f>
        <v>1085854</v>
      </c>
      <c r="R16" s="21">
        <f t="shared" ref="R16" si="35">(R8+R13)</f>
        <v>650640</v>
      </c>
      <c r="S16" s="21">
        <f t="shared" ref="S16:AB16" si="36">(S8+S13)</f>
        <v>274563</v>
      </c>
      <c r="T16" s="21">
        <f>(T8+T13)</f>
        <v>1314259</v>
      </c>
      <c r="U16" s="21">
        <f t="shared" si="36"/>
        <v>995078</v>
      </c>
      <c r="V16" s="21">
        <f t="shared" si="36"/>
        <v>625858</v>
      </c>
      <c r="W16" s="21">
        <f t="shared" si="36"/>
        <v>293801</v>
      </c>
      <c r="X16" s="21">
        <f t="shared" si="36"/>
        <v>1313121</v>
      </c>
      <c r="Y16" s="21">
        <f t="shared" si="36"/>
        <v>977906</v>
      </c>
      <c r="Z16" s="21">
        <f t="shared" si="36"/>
        <v>604429</v>
      </c>
      <c r="AA16" s="21">
        <f t="shared" si="36"/>
        <v>316930</v>
      </c>
      <c r="AB16" s="21">
        <f t="shared" si="36"/>
        <v>1194820</v>
      </c>
      <c r="AC16" s="21">
        <f t="shared" ref="AC16:AE16" si="37">(AC8+AC13)</f>
        <v>786739</v>
      </c>
      <c r="AD16" s="21">
        <f t="shared" si="37"/>
        <v>487710</v>
      </c>
      <c r="AE16" s="21">
        <f t="shared" si="37"/>
        <v>228119</v>
      </c>
    </row>
    <row r="17" spans="1:31" ht="13.5" customHeight="1" x14ac:dyDescent="0.25">
      <c r="A17" s="26" t="s">
        <v>97</v>
      </c>
      <c r="B17" s="170">
        <v>-325760</v>
      </c>
      <c r="C17" s="27">
        <v>-161663</v>
      </c>
      <c r="D17" s="27">
        <v>-607362</v>
      </c>
      <c r="E17" s="27">
        <v>-442142</v>
      </c>
      <c r="F17" s="27">
        <v>-289326</v>
      </c>
      <c r="G17" s="27">
        <v>-137027</v>
      </c>
      <c r="H17" s="27">
        <v>-537830</v>
      </c>
      <c r="I17" s="27">
        <v>-399757</v>
      </c>
      <c r="J17" s="27">
        <v>-267080</v>
      </c>
      <c r="K17" s="27">
        <v>-134392</v>
      </c>
      <c r="L17" s="27">
        <v>-512435</v>
      </c>
      <c r="M17" s="27">
        <v>-373019</v>
      </c>
      <c r="N17" s="27">
        <v>-243834</v>
      </c>
      <c r="O17" s="27">
        <v>-122635</v>
      </c>
      <c r="P17" s="27">
        <v>-496140</v>
      </c>
      <c r="Q17" s="27">
        <v>-380013</v>
      </c>
      <c r="R17" s="27">
        <v>-269440</v>
      </c>
      <c r="S17" s="27">
        <v>-174242</v>
      </c>
      <c r="T17" s="27">
        <v>-444373</v>
      </c>
      <c r="U17" s="27">
        <v>-303319</v>
      </c>
      <c r="V17" s="27">
        <v>-205394</v>
      </c>
      <c r="W17" s="27">
        <v>-96538</v>
      </c>
      <c r="X17" s="27">
        <v>-395102</v>
      </c>
      <c r="Y17" s="27">
        <v>-291433</v>
      </c>
      <c r="Z17" s="27">
        <v>-186270</v>
      </c>
      <c r="AA17" s="27">
        <v>-96312</v>
      </c>
      <c r="AB17" s="27">
        <v>-381471</v>
      </c>
      <c r="AC17" s="27">
        <v>-304876</v>
      </c>
      <c r="AD17" s="27">
        <v>-186719</v>
      </c>
      <c r="AE17" s="27">
        <v>-89543</v>
      </c>
    </row>
    <row r="18" spans="1:31" x14ac:dyDescent="0.25">
      <c r="A18" s="30" t="s">
        <v>98</v>
      </c>
      <c r="B18" s="167">
        <v>-187417</v>
      </c>
      <c r="C18" s="19">
        <v>-91848</v>
      </c>
      <c r="D18" s="19">
        <v>-367165</v>
      </c>
      <c r="E18" s="19">
        <v>-260214</v>
      </c>
      <c r="F18" s="19">
        <v>-172789</v>
      </c>
      <c r="G18" s="19">
        <v>-83793</v>
      </c>
      <c r="H18" s="19">
        <v>-340670</v>
      </c>
      <c r="I18" s="19">
        <v>-253739</v>
      </c>
      <c r="J18" s="19">
        <v>-168827</v>
      </c>
      <c r="K18" s="19">
        <v>-81055</v>
      </c>
      <c r="L18" s="19">
        <v>-316024</v>
      </c>
      <c r="M18" s="19">
        <v>-230013</v>
      </c>
      <c r="N18" s="19">
        <v>-155843</v>
      </c>
      <c r="O18" s="19">
        <v>-73159</v>
      </c>
      <c r="P18" s="19">
        <v>-324045</v>
      </c>
      <c r="Q18" s="19">
        <v>-253613</v>
      </c>
      <c r="R18" s="19">
        <v>-173316</v>
      </c>
      <c r="S18" s="19">
        <v>-94308</v>
      </c>
      <c r="T18" s="19">
        <v>-278235</v>
      </c>
      <c r="U18" s="19">
        <v>-204977</v>
      </c>
      <c r="V18" s="19">
        <v>-133726</v>
      </c>
      <c r="W18" s="19">
        <v>-65390</v>
      </c>
      <c r="X18" s="19">
        <v>-269063</v>
      </c>
      <c r="Y18" s="19">
        <v>-196421</v>
      </c>
      <c r="Z18" s="19">
        <v>-129969</v>
      </c>
      <c r="AA18" s="19">
        <v>-66359</v>
      </c>
      <c r="AB18" s="19">
        <v>-256971</v>
      </c>
      <c r="AC18" s="19">
        <v>-167608</v>
      </c>
      <c r="AD18" s="19">
        <v>-105374</v>
      </c>
      <c r="AE18" s="19">
        <v>-52736</v>
      </c>
    </row>
    <row r="19" spans="1:31" ht="13.5" customHeight="1" x14ac:dyDescent="0.25">
      <c r="A19" s="26" t="s">
        <v>99</v>
      </c>
      <c r="B19" s="170">
        <v>-47266</v>
      </c>
      <c r="C19" s="27">
        <v>-32990</v>
      </c>
      <c r="D19" s="27">
        <v>-49408</v>
      </c>
      <c r="E19" s="27">
        <v>-32076</v>
      </c>
      <c r="F19" s="27">
        <v>-26541</v>
      </c>
      <c r="G19" s="27">
        <v>-17784</v>
      </c>
      <c r="H19" s="27">
        <v>-32203</v>
      </c>
      <c r="I19" s="27">
        <v>-28520</v>
      </c>
      <c r="J19" s="27">
        <v>-24099</v>
      </c>
      <c r="K19" s="27">
        <v>-16367</v>
      </c>
      <c r="L19" s="27">
        <v>-35062</v>
      </c>
      <c r="M19" s="27">
        <v>-30659</v>
      </c>
      <c r="N19" s="27">
        <v>-25972</v>
      </c>
      <c r="O19" s="27">
        <v>-3199</v>
      </c>
      <c r="P19" s="27">
        <v>-17465</v>
      </c>
      <c r="Q19" s="27">
        <v>-14543</v>
      </c>
      <c r="R19" s="27">
        <v>-11184</v>
      </c>
      <c r="S19" s="27">
        <v>-6818</v>
      </c>
      <c r="T19" s="27">
        <v>-23393</v>
      </c>
      <c r="U19" s="27">
        <v>-21406</v>
      </c>
      <c r="V19" s="27">
        <v>-13200</v>
      </c>
      <c r="W19" s="27">
        <v>-5721</v>
      </c>
      <c r="X19" s="27">
        <v>-15695</v>
      </c>
      <c r="Y19" s="27">
        <v>-13951</v>
      </c>
      <c r="Z19" s="27">
        <v>-11571</v>
      </c>
      <c r="AA19" s="27">
        <v>-4735</v>
      </c>
      <c r="AB19" s="27">
        <v>-14950</v>
      </c>
      <c r="AC19" s="27">
        <v>-13236</v>
      </c>
      <c r="AD19" s="27">
        <v>-7269</v>
      </c>
      <c r="AE19" s="27">
        <v>-4363</v>
      </c>
    </row>
    <row r="20" spans="1:31" x14ac:dyDescent="0.25">
      <c r="A20" s="30" t="s">
        <v>100</v>
      </c>
      <c r="B20" s="167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-1428</v>
      </c>
      <c r="R20" s="19">
        <v>12702</v>
      </c>
      <c r="S20" s="19">
        <v>27995</v>
      </c>
      <c r="T20" s="19">
        <v>0</v>
      </c>
      <c r="U20" s="19">
        <v>-125087</v>
      </c>
      <c r="V20" s="19">
        <v>-114743</v>
      </c>
      <c r="W20" s="19">
        <v>-105531</v>
      </c>
      <c r="X20" s="19">
        <v>-96298</v>
      </c>
      <c r="Y20" s="19">
        <v>-67234</v>
      </c>
      <c r="Z20" s="19">
        <v>-39977</v>
      </c>
      <c r="AA20" s="19">
        <v>-36347</v>
      </c>
      <c r="AB20" s="19">
        <v>-53481</v>
      </c>
      <c r="AC20" s="19">
        <v>-137299</v>
      </c>
      <c r="AD20" s="19">
        <v>-80991</v>
      </c>
      <c r="AE20" s="19">
        <v>-10934</v>
      </c>
    </row>
    <row r="21" spans="1:31" ht="13.5" customHeight="1" x14ac:dyDescent="0.25">
      <c r="A21" s="26" t="s">
        <v>101</v>
      </c>
      <c r="B21" s="171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 t="s">
        <v>17</v>
      </c>
      <c r="O21" s="33">
        <v>0</v>
      </c>
      <c r="P21" s="33" t="s">
        <v>17</v>
      </c>
      <c r="Q21" s="33" t="s">
        <v>17</v>
      </c>
      <c r="R21" s="33" t="s">
        <v>17</v>
      </c>
      <c r="S21" s="33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>
        <v>-7052</v>
      </c>
      <c r="Z21" s="33">
        <v>-6108</v>
      </c>
      <c r="AA21" s="33">
        <v>-7033</v>
      </c>
      <c r="AB21" s="33" t="s">
        <v>17</v>
      </c>
      <c r="AC21" s="33">
        <v>1559</v>
      </c>
      <c r="AD21" s="33">
        <v>1077</v>
      </c>
      <c r="AE21" s="33">
        <v>1589</v>
      </c>
    </row>
    <row r="22" spans="1:31" x14ac:dyDescent="0.25">
      <c r="A22" s="30" t="s">
        <v>258</v>
      </c>
      <c r="B22" s="167">
        <v>-75935</v>
      </c>
      <c r="C22" s="19">
        <v>-34101</v>
      </c>
      <c r="D22" s="19">
        <v>-98825</v>
      </c>
      <c r="E22" s="19">
        <v>-95317</v>
      </c>
      <c r="F22" s="19">
        <v>-90238</v>
      </c>
      <c r="G22" s="19">
        <v>-60994</v>
      </c>
      <c r="H22" s="19">
        <v>-99245</v>
      </c>
      <c r="I22" s="19">
        <v>-124451</v>
      </c>
      <c r="J22" s="19">
        <v>-33075</v>
      </c>
      <c r="K22" s="19">
        <v>-2970</v>
      </c>
      <c r="L22" s="19">
        <v>-95550</v>
      </c>
      <c r="M22" s="19">
        <v>-102270</v>
      </c>
      <c r="N22" s="19">
        <f>-38058-21908</f>
        <v>-59966</v>
      </c>
      <c r="O22" s="19">
        <v>26287</v>
      </c>
      <c r="P22" s="19">
        <v>-87253</v>
      </c>
      <c r="Q22" s="19">
        <v>-24131</v>
      </c>
      <c r="R22" s="19">
        <v>1099</v>
      </c>
      <c r="S22" s="19">
        <v>-122</v>
      </c>
      <c r="T22" s="19">
        <v>-56095</v>
      </c>
      <c r="U22" s="19">
        <v>22003</v>
      </c>
      <c r="V22" s="19">
        <v>3180</v>
      </c>
      <c r="W22" s="19">
        <v>-1235</v>
      </c>
      <c r="X22" s="19">
        <v>-4554</v>
      </c>
      <c r="Y22" s="19"/>
      <c r="Z22" s="19"/>
      <c r="AA22" s="19"/>
      <c r="AB22" s="19">
        <v>-25280</v>
      </c>
      <c r="AC22" s="19"/>
      <c r="AD22" s="19"/>
      <c r="AE22" s="19"/>
    </row>
    <row r="23" spans="1:31" ht="13.5" customHeight="1" x14ac:dyDescent="0.25">
      <c r="A23" s="26" t="s">
        <v>102</v>
      </c>
      <c r="B23" s="171">
        <f t="shared" ref="B23" si="38">SUM(B17:B22)</f>
        <v>-636378</v>
      </c>
      <c r="C23" s="33">
        <f t="shared" ref="C23:I23" si="39">SUM(C17:C22)</f>
        <v>-320602</v>
      </c>
      <c r="D23" s="33">
        <f t="shared" si="39"/>
        <v>-1122760</v>
      </c>
      <c r="E23" s="33">
        <f t="shared" si="39"/>
        <v>-829749</v>
      </c>
      <c r="F23" s="33">
        <f t="shared" si="39"/>
        <v>-578894</v>
      </c>
      <c r="G23" s="33">
        <f t="shared" si="39"/>
        <v>-299598</v>
      </c>
      <c r="H23" s="33">
        <f t="shared" si="39"/>
        <v>-1009948</v>
      </c>
      <c r="I23" s="33">
        <f t="shared" si="39"/>
        <v>-806467</v>
      </c>
      <c r="J23" s="33">
        <f t="shared" ref="J23:K23" si="40">SUM(J17:J22)</f>
        <v>-493081</v>
      </c>
      <c r="K23" s="33">
        <f t="shared" si="40"/>
        <v>-234784</v>
      </c>
      <c r="L23" s="33">
        <f t="shared" ref="L23:AB23" si="41">SUM(L17:L22)</f>
        <v>-959071</v>
      </c>
      <c r="M23" s="33">
        <f t="shared" ref="M23" si="42">SUM(M17:M22)</f>
        <v>-735961</v>
      </c>
      <c r="N23" s="33">
        <f t="shared" ref="N23" si="43">SUM(N17:N22)</f>
        <v>-485615</v>
      </c>
      <c r="O23" s="33">
        <f t="shared" ref="O23" si="44">SUM(O17:O22)</f>
        <v>-172706</v>
      </c>
      <c r="P23" s="33">
        <f t="shared" ref="P23" si="45">SUM(P17:P22)</f>
        <v>-924903</v>
      </c>
      <c r="Q23" s="33">
        <f t="shared" ref="Q23" si="46">SUM(Q17:Q22)</f>
        <v>-673728</v>
      </c>
      <c r="R23" s="33">
        <f t="shared" ref="R23" si="47">SUM(R17:R22)</f>
        <v>-440139</v>
      </c>
      <c r="S23" s="33">
        <f t="shared" si="41"/>
        <v>-247495</v>
      </c>
      <c r="T23" s="33">
        <f t="shared" ref="T23" si="48">SUM(T17:T22)</f>
        <v>-802096</v>
      </c>
      <c r="U23" s="33">
        <f t="shared" si="41"/>
        <v>-632786</v>
      </c>
      <c r="V23" s="33">
        <f t="shared" si="41"/>
        <v>-463883</v>
      </c>
      <c r="W23" s="33">
        <f t="shared" si="41"/>
        <v>-274415</v>
      </c>
      <c r="X23" s="33">
        <f t="shared" si="41"/>
        <v>-780712</v>
      </c>
      <c r="Y23" s="33">
        <f t="shared" si="41"/>
        <v>-576091</v>
      </c>
      <c r="Z23" s="33">
        <f t="shared" si="41"/>
        <v>-373895</v>
      </c>
      <c r="AA23" s="33">
        <f t="shared" si="41"/>
        <v>-210786</v>
      </c>
      <c r="AB23" s="33">
        <f t="shared" si="41"/>
        <v>-732153</v>
      </c>
      <c r="AC23" s="33">
        <f t="shared" ref="AC23:AE23" si="49">SUM(AC17:AC22)</f>
        <v>-621460</v>
      </c>
      <c r="AD23" s="33">
        <f t="shared" si="49"/>
        <v>-379276</v>
      </c>
      <c r="AE23" s="33">
        <f t="shared" si="49"/>
        <v>-155987</v>
      </c>
    </row>
    <row r="24" spans="1:31" ht="13.5" customHeight="1" x14ac:dyDescent="0.25">
      <c r="A24" s="25" t="s">
        <v>264</v>
      </c>
      <c r="B24" s="168">
        <f t="shared" ref="B24" si="50">SUM(B23,B16)</f>
        <v>342030</v>
      </c>
      <c r="C24" s="21">
        <f t="shared" ref="C24:G24" si="51">SUM(C23,C16)</f>
        <v>114454</v>
      </c>
      <c r="D24" s="21">
        <f t="shared" si="51"/>
        <v>860708</v>
      </c>
      <c r="E24" s="21">
        <f t="shared" si="51"/>
        <v>629048</v>
      </c>
      <c r="F24" s="21">
        <f t="shared" si="51"/>
        <v>366977</v>
      </c>
      <c r="G24" s="21">
        <f t="shared" si="51"/>
        <v>158774</v>
      </c>
      <c r="H24" s="21">
        <f t="shared" ref="H24:I24" si="52">SUM(H23,H16)</f>
        <v>848036</v>
      </c>
      <c r="I24" s="21">
        <f t="shared" si="52"/>
        <v>623384</v>
      </c>
      <c r="J24" s="21">
        <f t="shared" ref="J24:K24" si="53">SUM(J23,J16)</f>
        <v>403297</v>
      </c>
      <c r="K24" s="21">
        <f t="shared" si="53"/>
        <v>191853</v>
      </c>
      <c r="L24" s="21">
        <f t="shared" ref="L24:AB24" si="54">SUM(L23,L16)</f>
        <v>838250</v>
      </c>
      <c r="M24" s="21">
        <f t="shared" ref="M24" si="55">SUM(M23,M16)</f>
        <v>581547</v>
      </c>
      <c r="N24" s="21">
        <f t="shared" ref="N24" si="56">SUM(N23,N16)</f>
        <v>337818</v>
      </c>
      <c r="O24" s="21">
        <f t="shared" ref="O24" si="57">SUM(O23,O16)</f>
        <v>192364</v>
      </c>
      <c r="P24" s="21">
        <f t="shared" ref="P24" si="58">SUM(P23,P16)</f>
        <v>571610</v>
      </c>
      <c r="Q24" s="21">
        <f t="shared" ref="Q24" si="59">SUM(Q23,Q16)</f>
        <v>412126</v>
      </c>
      <c r="R24" s="21">
        <f t="shared" ref="R24" si="60">SUM(R23,R16)</f>
        <v>210501</v>
      </c>
      <c r="S24" s="21">
        <f t="shared" si="54"/>
        <v>27068</v>
      </c>
      <c r="T24" s="21">
        <f t="shared" ref="T24" si="61">SUM(T23,T16)</f>
        <v>512163</v>
      </c>
      <c r="U24" s="21">
        <f t="shared" si="54"/>
        <v>362292</v>
      </c>
      <c r="V24" s="21">
        <f t="shared" si="54"/>
        <v>161975</v>
      </c>
      <c r="W24" s="21">
        <f t="shared" si="54"/>
        <v>19386</v>
      </c>
      <c r="X24" s="21">
        <f t="shared" si="54"/>
        <v>532409</v>
      </c>
      <c r="Y24" s="21">
        <f t="shared" si="54"/>
        <v>401815</v>
      </c>
      <c r="Z24" s="21">
        <f t="shared" si="54"/>
        <v>230534</v>
      </c>
      <c r="AA24" s="21">
        <f t="shared" si="54"/>
        <v>106144</v>
      </c>
      <c r="AB24" s="21">
        <f t="shared" si="54"/>
        <v>462667</v>
      </c>
      <c r="AC24" s="21">
        <f t="shared" ref="AC24:AE24" si="62">SUM(AC23,AC16)</f>
        <v>165279</v>
      </c>
      <c r="AD24" s="21">
        <f t="shared" si="62"/>
        <v>108434</v>
      </c>
      <c r="AE24" s="21">
        <f t="shared" si="62"/>
        <v>72132</v>
      </c>
    </row>
    <row r="25" spans="1:31" ht="12.75" customHeight="1" x14ac:dyDescent="0.25">
      <c r="A25" s="26" t="s">
        <v>104</v>
      </c>
      <c r="B25" s="170">
        <v>9258</v>
      </c>
      <c r="C25" s="27">
        <v>-3039</v>
      </c>
      <c r="D25" s="27">
        <v>63386</v>
      </c>
      <c r="E25" s="27">
        <v>124</v>
      </c>
      <c r="F25" s="27">
        <v>4341</v>
      </c>
      <c r="G25" s="27">
        <v>5823</v>
      </c>
      <c r="H25" s="27">
        <v>-994</v>
      </c>
      <c r="I25" s="27">
        <v>-10934</v>
      </c>
      <c r="J25" s="27">
        <v>-17882</v>
      </c>
      <c r="K25" s="27">
        <v>-9055</v>
      </c>
      <c r="L25" s="27">
        <v>-20227</v>
      </c>
      <c r="M25" s="27">
        <v>-19042</v>
      </c>
      <c r="N25" s="27">
        <v>-12991</v>
      </c>
      <c r="O25" s="27">
        <v>-10789</v>
      </c>
      <c r="P25" s="27">
        <v>-18481</v>
      </c>
      <c r="Q25" s="27">
        <v>-14069</v>
      </c>
      <c r="R25" s="27">
        <v>-6007</v>
      </c>
      <c r="S25" s="27">
        <v>5731</v>
      </c>
      <c r="T25" s="27">
        <v>-24188</v>
      </c>
      <c r="U25" s="27">
        <v>-12002</v>
      </c>
      <c r="V25" s="27">
        <v>11698</v>
      </c>
      <c r="W25" s="27">
        <v>-4943</v>
      </c>
      <c r="X25" s="27">
        <v>-63980</v>
      </c>
      <c r="Y25" s="27">
        <v>-61373</v>
      </c>
      <c r="Z25" s="27">
        <v>-50649</v>
      </c>
      <c r="AA25" s="27">
        <v>-34815</v>
      </c>
      <c r="AB25" s="27">
        <v>-52525</v>
      </c>
      <c r="AC25" s="27">
        <v>-45799</v>
      </c>
      <c r="AD25" s="27">
        <v>-29009</v>
      </c>
      <c r="AE25" s="27">
        <v>-14527</v>
      </c>
    </row>
    <row r="26" spans="1:31" ht="13.5" customHeight="1" x14ac:dyDescent="0.25">
      <c r="A26" s="25" t="s">
        <v>103</v>
      </c>
      <c r="B26" s="168">
        <f t="shared" ref="B26" si="63">SUM(B24:B25)</f>
        <v>351288</v>
      </c>
      <c r="C26" s="21">
        <f t="shared" ref="C26:G26" si="64">SUM(C24:C25)</f>
        <v>111415</v>
      </c>
      <c r="D26" s="21">
        <f t="shared" si="64"/>
        <v>924094</v>
      </c>
      <c r="E26" s="21">
        <f t="shared" si="64"/>
        <v>629172</v>
      </c>
      <c r="F26" s="21">
        <f t="shared" si="64"/>
        <v>371318</v>
      </c>
      <c r="G26" s="21">
        <f t="shared" si="64"/>
        <v>164597</v>
      </c>
      <c r="H26" s="21">
        <f t="shared" ref="H26:I26" si="65">SUM(H24:H25)</f>
        <v>847042</v>
      </c>
      <c r="I26" s="21">
        <f t="shared" si="65"/>
        <v>612450</v>
      </c>
      <c r="J26" s="21">
        <f t="shared" ref="J26:K26" si="66">SUM(J24:J25)</f>
        <v>385415</v>
      </c>
      <c r="K26" s="21">
        <f t="shared" si="66"/>
        <v>182798</v>
      </c>
      <c r="L26" s="21">
        <f t="shared" ref="L26" si="67">SUM(L24:L25)</f>
        <v>818023</v>
      </c>
      <c r="M26" s="21">
        <f t="shared" ref="M26" si="68">SUM(M24:M25)</f>
        <v>562505</v>
      </c>
      <c r="N26" s="21">
        <f t="shared" ref="N26" si="69">SUM(N24:N25)</f>
        <v>324827</v>
      </c>
      <c r="O26" s="21">
        <f t="shared" ref="O26" si="70">SUM(O24:O25)</f>
        <v>181575</v>
      </c>
      <c r="P26" s="21">
        <f t="shared" ref="P26" si="71">SUM(P24:P25)</f>
        <v>553129</v>
      </c>
      <c r="Q26" s="21">
        <f t="shared" ref="Q26" si="72">SUM(Q24:Q25)</f>
        <v>398057</v>
      </c>
      <c r="R26" s="21">
        <f t="shared" ref="R26" si="73">SUM(R24:R25)</f>
        <v>204494</v>
      </c>
      <c r="S26" s="21">
        <f t="shared" ref="S26:AB26" si="74">SUM(S24:S25)</f>
        <v>32799</v>
      </c>
      <c r="T26" s="21">
        <f t="shared" ref="T26" si="75">SUM(T24:T25)</f>
        <v>487975</v>
      </c>
      <c r="U26" s="21">
        <f t="shared" si="74"/>
        <v>350290</v>
      </c>
      <c r="V26" s="21">
        <f t="shared" si="74"/>
        <v>173673</v>
      </c>
      <c r="W26" s="21">
        <f t="shared" si="74"/>
        <v>14443</v>
      </c>
      <c r="X26" s="21">
        <f t="shared" si="74"/>
        <v>468429</v>
      </c>
      <c r="Y26" s="21">
        <f t="shared" si="74"/>
        <v>340442</v>
      </c>
      <c r="Z26" s="21">
        <f t="shared" si="74"/>
        <v>179885</v>
      </c>
      <c r="AA26" s="21">
        <f t="shared" si="74"/>
        <v>71329</v>
      </c>
      <c r="AB26" s="21">
        <f t="shared" si="74"/>
        <v>410142</v>
      </c>
      <c r="AC26" s="21">
        <f t="shared" ref="AC26:AE26" si="76">SUM(AC24:AC25)</f>
        <v>119480</v>
      </c>
      <c r="AD26" s="21">
        <f t="shared" si="76"/>
        <v>79425</v>
      </c>
      <c r="AE26" s="21">
        <f t="shared" si="76"/>
        <v>57605</v>
      </c>
    </row>
    <row r="27" spans="1:31" x14ac:dyDescent="0.25">
      <c r="A27" s="30" t="s">
        <v>105</v>
      </c>
      <c r="B27" s="15">
        <v>-85869</v>
      </c>
      <c r="C27" s="15">
        <v>-31429</v>
      </c>
      <c r="D27" s="38">
        <v>-230576</v>
      </c>
      <c r="E27" s="38">
        <v>-154721</v>
      </c>
      <c r="F27" s="38">
        <v>-99717</v>
      </c>
      <c r="G27" s="38">
        <v>-52996</v>
      </c>
      <c r="H27" s="38">
        <v>-194209</v>
      </c>
      <c r="I27" s="38">
        <v>-149287</v>
      </c>
      <c r="J27" s="38">
        <v>-91825</v>
      </c>
      <c r="K27" s="38">
        <v>-50555</v>
      </c>
      <c r="L27" s="38">
        <v>-210569</v>
      </c>
      <c r="M27" s="38">
        <v>-147469</v>
      </c>
      <c r="N27" s="38">
        <v>-79580</v>
      </c>
      <c r="O27" s="38">
        <v>-30893</v>
      </c>
      <c r="P27" s="38">
        <v>-125554</v>
      </c>
      <c r="Q27" s="38">
        <v>-84174</v>
      </c>
      <c r="R27" s="38">
        <v>-36748</v>
      </c>
      <c r="S27" s="38">
        <v>0</v>
      </c>
      <c r="T27" s="38">
        <v>-67958</v>
      </c>
      <c r="U27" s="38">
        <v>-71140</v>
      </c>
      <c r="V27" s="38">
        <v>-42683</v>
      </c>
      <c r="W27" s="38">
        <v>-17382</v>
      </c>
      <c r="X27" s="38">
        <v>-63114</v>
      </c>
      <c r="Y27" s="38">
        <v>-55039</v>
      </c>
      <c r="Z27" s="38">
        <v>-28844</v>
      </c>
      <c r="AA27" s="38">
        <v>-15135</v>
      </c>
      <c r="AB27" s="38">
        <v>-69133</v>
      </c>
      <c r="AC27" s="38">
        <v>-53459</v>
      </c>
      <c r="AD27" s="38">
        <v>-35200</v>
      </c>
      <c r="AE27" s="38">
        <v>-11315</v>
      </c>
    </row>
    <row r="28" spans="1:31" ht="12.75" customHeight="1" x14ac:dyDescent="0.25">
      <c r="A28" s="26" t="s">
        <v>106</v>
      </c>
      <c r="B28" s="158">
        <v>-12949</v>
      </c>
      <c r="C28" s="158">
        <v>-968</v>
      </c>
      <c r="D28" s="33">
        <v>-23749</v>
      </c>
      <c r="E28" s="33">
        <v>-18429</v>
      </c>
      <c r="F28" s="33">
        <v>-2800</v>
      </c>
      <c r="G28" s="33">
        <v>7639</v>
      </c>
      <c r="H28" s="33">
        <v>-31239</v>
      </c>
      <c r="I28" s="33">
        <v>-10320</v>
      </c>
      <c r="J28" s="33">
        <v>-14137</v>
      </c>
      <c r="K28" s="33">
        <v>-487</v>
      </c>
      <c r="L28" s="33">
        <v>-23598</v>
      </c>
      <c r="M28" s="33">
        <v>-8726</v>
      </c>
      <c r="N28" s="33">
        <v>-12681</v>
      </c>
      <c r="O28" s="33">
        <v>-20941</v>
      </c>
      <c r="P28" s="33">
        <v>-25939</v>
      </c>
      <c r="Q28" s="33">
        <v>-25890</v>
      </c>
      <c r="R28" s="33">
        <v>-18319</v>
      </c>
      <c r="S28" s="33">
        <v>-9545</v>
      </c>
      <c r="T28" s="33">
        <v>-67561</v>
      </c>
      <c r="U28" s="33">
        <v>-30652</v>
      </c>
      <c r="V28" s="33">
        <v>-7190</v>
      </c>
      <c r="W28" s="33">
        <v>12790</v>
      </c>
      <c r="X28" s="33">
        <v>-68969</v>
      </c>
      <c r="Y28" s="33">
        <v>-55046</v>
      </c>
      <c r="Z28" s="33">
        <v>-31457</v>
      </c>
      <c r="AA28" s="33">
        <v>-7919</v>
      </c>
      <c r="AB28" s="33">
        <v>-65947</v>
      </c>
      <c r="AC28" s="33">
        <v>11214</v>
      </c>
      <c r="AD28" s="33">
        <v>8856</v>
      </c>
      <c r="AE28" s="33">
        <v>-4130</v>
      </c>
    </row>
    <row r="29" spans="1:31" ht="13.5" customHeight="1" x14ac:dyDescent="0.25">
      <c r="A29" s="25" t="s">
        <v>107</v>
      </c>
      <c r="B29" s="168">
        <f t="shared" ref="B29" si="77">B26+B27+B28</f>
        <v>252470</v>
      </c>
      <c r="C29" s="21">
        <f>C26+C27+C28</f>
        <v>79018</v>
      </c>
      <c r="D29" s="21">
        <f>D26+D27+D28</f>
        <v>669769</v>
      </c>
      <c r="E29" s="21">
        <f>E26+E27+E28</f>
        <v>456022</v>
      </c>
      <c r="F29" s="21">
        <f>F26+F27+F28</f>
        <v>268801</v>
      </c>
      <c r="G29" s="21">
        <f>G26+G27+G28</f>
        <v>119240</v>
      </c>
      <c r="H29" s="21">
        <v>621594</v>
      </c>
      <c r="I29" s="21">
        <v>452843</v>
      </c>
      <c r="J29" s="21">
        <f t="shared" ref="J29:K29" si="78">SUM(J26:J28)</f>
        <v>279453</v>
      </c>
      <c r="K29" s="21">
        <f t="shared" si="78"/>
        <v>131756</v>
      </c>
      <c r="L29" s="21">
        <f t="shared" ref="L29" si="79">SUM(L26:L28)</f>
        <v>583856</v>
      </c>
      <c r="M29" s="21">
        <f t="shared" ref="M29" si="80">SUM(M26:M28)</f>
        <v>406310</v>
      </c>
      <c r="N29" s="21">
        <f t="shared" ref="N29" si="81">SUM(N26:N28)</f>
        <v>232566</v>
      </c>
      <c r="O29" s="21">
        <f t="shared" ref="O29" si="82">SUM(O26:O28)</f>
        <v>129741</v>
      </c>
      <c r="P29" s="21">
        <f t="shared" ref="P29" si="83">SUM(P26:P28)</f>
        <v>401636</v>
      </c>
      <c r="Q29" s="21">
        <f t="shared" ref="Q29" si="84">SUM(Q26:Q28)</f>
        <v>287993</v>
      </c>
      <c r="R29" s="21">
        <f t="shared" ref="R29" si="85">SUM(R26:R28)</f>
        <v>149427</v>
      </c>
      <c r="S29" s="21">
        <f t="shared" ref="S29:AB29" si="86">SUM(S26:S28)</f>
        <v>23254</v>
      </c>
      <c r="T29" s="21">
        <f t="shared" ref="T29" si="87">SUM(T26:T28)</f>
        <v>352456</v>
      </c>
      <c r="U29" s="21">
        <f t="shared" si="86"/>
        <v>248498</v>
      </c>
      <c r="V29" s="21">
        <f t="shared" si="86"/>
        <v>123800</v>
      </c>
      <c r="W29" s="21">
        <f t="shared" si="86"/>
        <v>9851</v>
      </c>
      <c r="X29" s="21">
        <f t="shared" si="86"/>
        <v>336346</v>
      </c>
      <c r="Y29" s="21">
        <f t="shared" si="86"/>
        <v>230357</v>
      </c>
      <c r="Z29" s="21">
        <f t="shared" si="86"/>
        <v>119584</v>
      </c>
      <c r="AA29" s="21">
        <f t="shared" si="86"/>
        <v>48275</v>
      </c>
      <c r="AB29" s="21">
        <f t="shared" si="86"/>
        <v>275062</v>
      </c>
      <c r="AC29" s="21">
        <f t="shared" ref="AC29:AE29" si="88">SUM(AC26:AC28)</f>
        <v>77235</v>
      </c>
      <c r="AD29" s="21">
        <f t="shared" si="88"/>
        <v>53081</v>
      </c>
      <c r="AE29" s="21">
        <f t="shared" si="88"/>
        <v>42160</v>
      </c>
    </row>
    <row r="30" spans="1:31" x14ac:dyDescent="0.25">
      <c r="A30" s="30" t="s">
        <v>108</v>
      </c>
      <c r="B30" s="172">
        <f>B29/2515546</f>
        <v>0.10036389714201212</v>
      </c>
      <c r="C30" s="39">
        <f>C29/2515546</f>
        <v>3.1411868437309434E-2</v>
      </c>
      <c r="D30" s="39">
        <f>D29/2515546</f>
        <v>0.26625193894287763</v>
      </c>
      <c r="E30" s="154">
        <f>E29/2515546</f>
        <v>0.18128151900223649</v>
      </c>
      <c r="F30" s="39">
        <v>0.1069</v>
      </c>
      <c r="G30" s="39">
        <v>4.7399999999999998E-2</v>
      </c>
      <c r="H30" s="39">
        <v>0.24710102697386571</v>
      </c>
      <c r="I30" s="39">
        <v>0.18001777745268821</v>
      </c>
      <c r="J30" s="39">
        <v>0.11109039548471783</v>
      </c>
      <c r="K30" s="39">
        <v>5.2376700724216532E-2</v>
      </c>
      <c r="L30" s="39">
        <v>0.23110290966652966</v>
      </c>
      <c r="M30" s="39">
        <v>0.16151960647907054</v>
      </c>
      <c r="N30" s="39">
        <v>9.2451499594918954E-2</v>
      </c>
      <c r="O30" s="39">
        <v>5.157568178041666E-2</v>
      </c>
      <c r="P30" s="39">
        <v>0.15970000000000001</v>
      </c>
      <c r="Q30" s="39">
        <v>0.114485284705587</v>
      </c>
      <c r="R30" s="39">
        <v>5.94014182209349E-2</v>
      </c>
      <c r="S30" s="39">
        <v>9.2441163866611893E-3</v>
      </c>
      <c r="T30" s="39">
        <v>0.14011113293098201</v>
      </c>
      <c r="U30" s="39">
        <v>9.8784915879097407E-2</v>
      </c>
      <c r="V30" s="39">
        <v>4.9213967862245397E-2</v>
      </c>
      <c r="W30" s="39">
        <v>3.9160484443536304E-3</v>
      </c>
      <c r="X30" s="39">
        <v>0.13370695666070101</v>
      </c>
      <c r="Y30" s="39">
        <v>0.10381722298061732</v>
      </c>
      <c r="Z30" s="39">
        <v>5.5705997823136608E-2</v>
      </c>
      <c r="AA30" s="39">
        <v>2.3262941723188525E-2</v>
      </c>
      <c r="AB30" s="39">
        <v>0.109344849984854</v>
      </c>
      <c r="AC30" s="39">
        <v>3.0703075992249793E-2</v>
      </c>
      <c r="AD30" s="39">
        <v>2.1101184394958391E-2</v>
      </c>
      <c r="AE30" s="39">
        <v>1.6759780977966612E-2</v>
      </c>
    </row>
    <row r="31" spans="1:31" x14ac:dyDescent="0.25">
      <c r="L31"/>
      <c r="P31"/>
      <c r="Q31"/>
      <c r="R31"/>
      <c r="S31"/>
      <c r="T31"/>
      <c r="U31"/>
      <c r="X31"/>
      <c r="Y31"/>
      <c r="AB31"/>
      <c r="AC31"/>
    </row>
    <row r="32" spans="1:31" x14ac:dyDescent="0.25">
      <c r="A32" s="107"/>
      <c r="B32" s="107"/>
      <c r="C32" s="107"/>
      <c r="D32" s="107"/>
      <c r="E32" s="107"/>
      <c r="F32" s="107"/>
      <c r="L32"/>
      <c r="P32"/>
      <c r="Q32"/>
      <c r="R32"/>
      <c r="S32"/>
      <c r="T32"/>
      <c r="U32"/>
      <c r="X32"/>
      <c r="Y32"/>
      <c r="AB32"/>
      <c r="AC32"/>
    </row>
    <row r="33" spans="4:31" x14ac:dyDescent="0.25">
      <c r="D33" s="160"/>
      <c r="E33" s="160"/>
      <c r="Q33" s="114"/>
      <c r="R33" s="114"/>
      <c r="S33" s="114"/>
      <c r="T33" s="115"/>
      <c r="U33" s="114"/>
      <c r="V33" s="114"/>
      <c r="W33" s="114"/>
      <c r="X33" s="115"/>
      <c r="Y33" s="114"/>
      <c r="Z33" s="114"/>
      <c r="AA33" s="114"/>
      <c r="AB33" s="115"/>
      <c r="AC33" s="114"/>
      <c r="AD33" s="114"/>
      <c r="AE33" s="114"/>
    </row>
    <row r="34" spans="4:31" x14ac:dyDescent="0.25">
      <c r="D34" s="24"/>
      <c r="E34" s="113"/>
      <c r="Q34" s="114"/>
      <c r="R34" s="114"/>
      <c r="S34" s="114"/>
      <c r="T34" s="115"/>
      <c r="U34" s="114"/>
      <c r="V34" s="114"/>
      <c r="W34" s="114"/>
      <c r="X34" s="115"/>
      <c r="Y34" s="114"/>
      <c r="Z34" s="114"/>
      <c r="AA34" s="114"/>
      <c r="AB34" s="115"/>
      <c r="AC34" s="114"/>
      <c r="AD34" s="114"/>
      <c r="AE34" s="114"/>
    </row>
    <row r="35" spans="4:31" x14ac:dyDescent="0.25">
      <c r="D35" s="161"/>
      <c r="E35" s="161"/>
      <c r="Q35" s="116"/>
      <c r="R35" s="116"/>
      <c r="S35" s="116"/>
      <c r="T35" s="117"/>
      <c r="U35" s="116"/>
      <c r="V35" s="116"/>
      <c r="W35" s="116"/>
      <c r="X35" s="117"/>
      <c r="Y35" s="116"/>
      <c r="Z35" s="116"/>
      <c r="AA35" s="116"/>
      <c r="AB35" s="117"/>
      <c r="AC35" s="116"/>
      <c r="AD35" s="116"/>
      <c r="AE35" s="116"/>
    </row>
  </sheetData>
  <phoneticPr fontId="29" type="noConversion"/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08080"/>
  </sheetPr>
  <dimension ref="A1:AMY13"/>
  <sheetViews>
    <sheetView showGridLines="0"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8.7109375" defaultRowHeight="15" x14ac:dyDescent="0.25"/>
  <cols>
    <col min="1" max="1" width="61.7109375" customWidth="1"/>
    <col min="2" max="2" width="11.140625" customWidth="1"/>
    <col min="3" max="3" width="8.7109375" bestFit="1" customWidth="1"/>
    <col min="4" max="4" width="9.85546875" bestFit="1" customWidth="1"/>
    <col min="5" max="5" width="10.5703125" customWidth="1"/>
    <col min="6" max="6" width="9.42578125" customWidth="1"/>
    <col min="7" max="11" width="9.42578125" bestFit="1" customWidth="1"/>
    <col min="12" max="12" width="9.42578125" style="113" bestFit="1" customWidth="1"/>
    <col min="13" max="15" width="9.42578125" bestFit="1" customWidth="1"/>
    <col min="16" max="16" width="9.7109375" style="113" bestFit="1" customWidth="1"/>
    <col min="17" max="18" width="9.42578125" bestFit="1" customWidth="1"/>
    <col min="19" max="19" width="8.5703125" bestFit="1" customWidth="1"/>
    <col min="20" max="20" width="9.7109375" style="113" bestFit="1" customWidth="1"/>
    <col min="21" max="22" width="9.42578125" bestFit="1" customWidth="1"/>
    <col min="23" max="23" width="8.5703125" bestFit="1" customWidth="1"/>
    <col min="24" max="24" width="9.85546875" style="113" customWidth="1"/>
    <col min="25" max="26" width="9.42578125" bestFit="1" customWidth="1"/>
    <col min="27" max="27" width="8.5703125" bestFit="1" customWidth="1"/>
    <col min="28" max="28" width="9.85546875" style="113" customWidth="1"/>
    <col min="29" max="30" width="9.42578125" bestFit="1" customWidth="1"/>
    <col min="31" max="31" width="8.5703125" bestFit="1" customWidth="1"/>
    <col min="1040" max="1042" width="11.5703125" customWidth="1"/>
  </cols>
  <sheetData>
    <row r="1" spans="1:32 1039:1039" ht="18" customHeight="1" x14ac:dyDescent="0.25">
      <c r="A1" s="1"/>
      <c r="B1" s="1"/>
      <c r="C1" s="1"/>
      <c r="D1" s="1"/>
      <c r="E1" s="1"/>
      <c r="F1" s="1"/>
      <c r="AD1" s="1"/>
      <c r="AE1" s="1"/>
    </row>
    <row r="2" spans="1:32 1039:1039" ht="18" customHeight="1" x14ac:dyDescent="0.25">
      <c r="A2" s="1"/>
      <c r="B2" s="1"/>
      <c r="C2" s="1"/>
      <c r="D2" s="1"/>
      <c r="E2" s="1"/>
      <c r="F2" s="1"/>
      <c r="AD2" s="1"/>
      <c r="AE2" s="1"/>
    </row>
    <row r="3" spans="1:32 1039:1039" ht="18" customHeight="1" x14ac:dyDescent="0.55000000000000004">
      <c r="A3" s="1"/>
      <c r="B3" s="1"/>
      <c r="C3" s="1"/>
      <c r="D3" s="1"/>
      <c r="E3" s="1"/>
      <c r="F3" s="1"/>
      <c r="AB3" s="123"/>
      <c r="AD3" s="1"/>
      <c r="AE3" s="1"/>
    </row>
    <row r="4" spans="1:32 1039:1039" ht="48" customHeight="1" x14ac:dyDescent="0.25">
      <c r="A4" s="1"/>
      <c r="B4" s="1"/>
      <c r="C4" s="1"/>
      <c r="D4" s="1"/>
      <c r="E4" s="1"/>
      <c r="F4" s="1"/>
      <c r="V4" s="124"/>
      <c r="W4" s="124"/>
      <c r="Z4" s="124"/>
      <c r="AA4" s="124"/>
      <c r="AD4" s="7"/>
      <c r="AE4" s="7"/>
    </row>
    <row r="5" spans="1:32 1039:1039" ht="15.75" customHeight="1" x14ac:dyDescent="0.25">
      <c r="A5" s="1"/>
      <c r="B5" s="1"/>
      <c r="C5" s="1"/>
      <c r="D5" s="1"/>
      <c r="E5" s="1"/>
      <c r="F5" s="1"/>
      <c r="V5" s="125"/>
      <c r="W5" s="125"/>
      <c r="Z5" s="125"/>
      <c r="AA5" s="125"/>
      <c r="AD5" s="8"/>
      <c r="AE5" s="8"/>
    </row>
    <row r="6" spans="1:32 1039:1039" ht="15.75" customHeight="1" x14ac:dyDescent="0.25">
      <c r="A6" s="40" t="s">
        <v>109</v>
      </c>
      <c r="B6" s="40"/>
      <c r="C6" s="40"/>
      <c r="D6" s="40"/>
      <c r="E6" s="40"/>
      <c r="F6" s="40"/>
      <c r="L6"/>
      <c r="P6"/>
      <c r="T6"/>
      <c r="X6"/>
      <c r="AB6"/>
    </row>
    <row r="7" spans="1:32 1039:1039" ht="15.75" customHeight="1" x14ac:dyDescent="0.25">
      <c r="A7" s="8" t="s">
        <v>2</v>
      </c>
      <c r="B7" s="10" t="s">
        <v>278</v>
      </c>
      <c r="C7" s="10" t="s">
        <v>275</v>
      </c>
      <c r="D7" s="10" t="s">
        <v>274</v>
      </c>
      <c r="E7" s="10" t="s">
        <v>270</v>
      </c>
      <c r="F7" s="10" t="s">
        <v>269</v>
      </c>
      <c r="G7" s="10" t="s">
        <v>265</v>
      </c>
      <c r="H7" s="10" t="s">
        <v>263</v>
      </c>
      <c r="I7" s="10" t="s">
        <v>262</v>
      </c>
      <c r="J7" s="10" t="s">
        <v>260</v>
      </c>
      <c r="K7" s="10" t="s">
        <v>257</v>
      </c>
      <c r="L7" s="10" t="s">
        <v>255</v>
      </c>
      <c r="M7" s="10" t="s">
        <v>254</v>
      </c>
      <c r="N7" s="10" t="s">
        <v>250</v>
      </c>
      <c r="O7" s="10" t="s">
        <v>246</v>
      </c>
      <c r="P7" s="10" t="s">
        <v>3</v>
      </c>
      <c r="Q7" s="10" t="s">
        <v>4</v>
      </c>
      <c r="R7" s="10" t="s">
        <v>5</v>
      </c>
      <c r="S7" s="10" t="s">
        <v>6</v>
      </c>
      <c r="T7" s="10" t="s">
        <v>7</v>
      </c>
      <c r="U7" s="10" t="s">
        <v>8</v>
      </c>
      <c r="V7" s="10" t="s">
        <v>9</v>
      </c>
      <c r="W7" s="10" t="s">
        <v>10</v>
      </c>
      <c r="X7" s="10" t="s">
        <v>11</v>
      </c>
      <c r="Y7" s="10" t="s">
        <v>194</v>
      </c>
      <c r="Z7" s="10" t="s">
        <v>195</v>
      </c>
      <c r="AA7" s="10" t="s">
        <v>196</v>
      </c>
      <c r="AB7" s="10" t="s">
        <v>12</v>
      </c>
      <c r="AC7" s="10" t="s">
        <v>197</v>
      </c>
      <c r="AD7" s="10" t="s">
        <v>198</v>
      </c>
      <c r="AE7" s="10" t="s">
        <v>199</v>
      </c>
    </row>
    <row r="8" spans="1:32 1039:1039" s="42" customFormat="1" ht="13.5" customHeight="1" x14ac:dyDescent="0.25">
      <c r="A8" s="41" t="s">
        <v>107</v>
      </c>
      <c r="B8" s="25"/>
      <c r="C8" s="25"/>
      <c r="D8" s="25"/>
      <c r="E8" s="25"/>
      <c r="F8" s="25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MY8" s="43"/>
    </row>
    <row r="9" spans="1:32 1039:1039" ht="13.5" customHeight="1" x14ac:dyDescent="0.25">
      <c r="A9" s="44" t="s">
        <v>110</v>
      </c>
      <c r="B9" s="173">
        <v>252470</v>
      </c>
      <c r="C9" s="144">
        <v>79018</v>
      </c>
      <c r="D9" s="144">
        <v>669769</v>
      </c>
      <c r="E9" s="144">
        <v>456022</v>
      </c>
      <c r="F9" s="144">
        <v>268801</v>
      </c>
      <c r="G9" s="27">
        <v>119240</v>
      </c>
      <c r="H9" s="27">
        <v>621594</v>
      </c>
      <c r="I9" s="27">
        <v>452843</v>
      </c>
      <c r="J9" s="27">
        <v>279453</v>
      </c>
      <c r="K9" s="27">
        <v>131756</v>
      </c>
      <c r="L9" s="27">
        <v>583856</v>
      </c>
      <c r="M9" s="27">
        <v>406310</v>
      </c>
      <c r="N9" s="27">
        <v>232566</v>
      </c>
      <c r="O9" s="27">
        <v>129741</v>
      </c>
      <c r="P9" s="27">
        <v>401636</v>
      </c>
      <c r="Q9" s="27">
        <v>287993</v>
      </c>
      <c r="R9" s="27">
        <v>126173</v>
      </c>
      <c r="S9" s="27">
        <v>23254</v>
      </c>
      <c r="T9" s="27">
        <v>352456</v>
      </c>
      <c r="U9" s="27">
        <v>248498</v>
      </c>
      <c r="V9" s="27">
        <v>113949</v>
      </c>
      <c r="W9" s="27">
        <v>9851</v>
      </c>
      <c r="X9" s="27">
        <v>336346</v>
      </c>
      <c r="Y9" s="27">
        <v>230357</v>
      </c>
      <c r="Z9" s="27">
        <v>119584</v>
      </c>
      <c r="AA9" s="27">
        <v>48275</v>
      </c>
      <c r="AB9" s="27">
        <v>275062</v>
      </c>
      <c r="AC9" s="27">
        <v>77235</v>
      </c>
      <c r="AD9" s="27">
        <v>53081</v>
      </c>
      <c r="AE9" s="27">
        <v>42160</v>
      </c>
    </row>
    <row r="10" spans="1:32 1039:1039" x14ac:dyDescent="0.25">
      <c r="A10" s="45" t="s">
        <v>66</v>
      </c>
      <c r="B10" s="153"/>
      <c r="C10" s="153"/>
      <c r="D10" s="153"/>
      <c r="E10" s="153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</row>
    <row r="11" spans="1:32 1039:1039" ht="13.5" customHeight="1" x14ac:dyDescent="0.25">
      <c r="A11" s="44" t="s">
        <v>111</v>
      </c>
      <c r="B11" s="174">
        <v>1</v>
      </c>
      <c r="C11" s="143">
        <v>1</v>
      </c>
      <c r="D11" s="143">
        <v>1</v>
      </c>
      <c r="E11" s="143">
        <v>1</v>
      </c>
      <c r="F11" s="143">
        <v>1</v>
      </c>
      <c r="G11" s="27">
        <v>0</v>
      </c>
      <c r="H11" s="27">
        <v>48</v>
      </c>
      <c r="I11" s="27">
        <v>48</v>
      </c>
      <c r="J11" s="27">
        <v>1</v>
      </c>
      <c r="K11" s="27">
        <v>0</v>
      </c>
      <c r="L11" s="27">
        <v>2</v>
      </c>
      <c r="M11" s="27">
        <v>1</v>
      </c>
      <c r="N11" s="27">
        <v>1</v>
      </c>
      <c r="O11" s="27">
        <v>0</v>
      </c>
      <c r="P11" s="27">
        <v>2</v>
      </c>
      <c r="Q11" s="27">
        <v>1</v>
      </c>
      <c r="R11" s="27" t="s">
        <v>17</v>
      </c>
      <c r="S11" s="27">
        <v>1</v>
      </c>
      <c r="T11" s="27">
        <v>2</v>
      </c>
      <c r="U11" s="27">
        <v>1</v>
      </c>
      <c r="V11" s="27">
        <v>1</v>
      </c>
      <c r="W11" s="27" t="s">
        <v>17</v>
      </c>
      <c r="X11" s="27">
        <v>6</v>
      </c>
      <c r="Y11" s="27">
        <v>5</v>
      </c>
      <c r="Z11" s="27">
        <v>4</v>
      </c>
      <c r="AA11" s="27">
        <v>3</v>
      </c>
      <c r="AB11" s="27">
        <v>25</v>
      </c>
      <c r="AC11" s="27">
        <v>22</v>
      </c>
      <c r="AD11" s="27">
        <v>17</v>
      </c>
      <c r="AE11" s="27">
        <v>10</v>
      </c>
    </row>
    <row r="12" spans="1:32 1039:1039" x14ac:dyDescent="0.25">
      <c r="A12" s="47" t="s">
        <v>112</v>
      </c>
      <c r="B12" s="169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37429</v>
      </c>
      <c r="I12" s="46">
        <v>0</v>
      </c>
      <c r="J12" s="46">
        <v>0</v>
      </c>
      <c r="K12" s="46">
        <v>0</v>
      </c>
      <c r="L12" s="46">
        <v>-37429</v>
      </c>
      <c r="M12" s="46"/>
      <c r="N12" s="46"/>
      <c r="O12" s="46"/>
      <c r="P12" s="46">
        <v>14116</v>
      </c>
      <c r="Q12" s="46"/>
      <c r="R12" s="46"/>
      <c r="S12" s="46"/>
      <c r="T12" s="46">
        <v>15814</v>
      </c>
      <c r="U12" s="46">
        <v>0</v>
      </c>
      <c r="V12" s="46" t="s">
        <v>17</v>
      </c>
      <c r="W12" s="46" t="s">
        <v>17</v>
      </c>
      <c r="X12" s="46">
        <v>60508</v>
      </c>
      <c r="Y12" s="46"/>
      <c r="Z12" s="46"/>
      <c r="AA12" s="46"/>
      <c r="AB12" s="46">
        <v>-85061</v>
      </c>
      <c r="AC12" s="46"/>
      <c r="AD12" s="46"/>
      <c r="AE12" s="46"/>
    </row>
    <row r="13" spans="1:32 1039:1039" s="48" customFormat="1" ht="13.5" customHeight="1" x14ac:dyDescent="0.25">
      <c r="A13" s="23" t="s">
        <v>113</v>
      </c>
      <c r="B13" s="168">
        <f t="shared" ref="B13" si="0">SUM(B9:B12)</f>
        <v>252471</v>
      </c>
      <c r="C13" s="21">
        <f>SUM(C9:C12)</f>
        <v>79019</v>
      </c>
      <c r="D13" s="21">
        <f>SUM(D9:D12)</f>
        <v>669770</v>
      </c>
      <c r="E13" s="21">
        <f>SUM(E9:E12)</f>
        <v>456023</v>
      </c>
      <c r="F13" s="21">
        <f>SUM(F9:F12)</f>
        <v>268802</v>
      </c>
      <c r="G13" s="21">
        <f t="shared" ref="G13:H13" si="1">SUM(G9:G12)</f>
        <v>119240</v>
      </c>
      <c r="H13" s="21">
        <f t="shared" si="1"/>
        <v>659071</v>
      </c>
      <c r="I13" s="21">
        <f t="shared" ref="I13:J13" si="2">SUM(I9:I12)</f>
        <v>452891</v>
      </c>
      <c r="J13" s="21">
        <f t="shared" si="2"/>
        <v>279454</v>
      </c>
      <c r="K13" s="21">
        <f t="shared" ref="K13:M13" si="3">SUM(K9:K12)</f>
        <v>131756</v>
      </c>
      <c r="L13" s="21">
        <f t="shared" si="3"/>
        <v>546429</v>
      </c>
      <c r="M13" s="21">
        <f t="shared" si="3"/>
        <v>406311</v>
      </c>
      <c r="N13" s="21">
        <f t="shared" ref="N13:O13" si="4">SUM(N9:N12)</f>
        <v>232567</v>
      </c>
      <c r="O13" s="21">
        <f t="shared" si="4"/>
        <v>129741</v>
      </c>
      <c r="P13" s="21">
        <f t="shared" ref="P13:AB13" si="5">SUM(P9:P12)</f>
        <v>415754</v>
      </c>
      <c r="Q13" s="21">
        <f t="shared" si="5"/>
        <v>287994</v>
      </c>
      <c r="R13" s="21">
        <f t="shared" si="5"/>
        <v>126173</v>
      </c>
      <c r="S13" s="21">
        <f t="shared" si="5"/>
        <v>23255</v>
      </c>
      <c r="T13" s="21">
        <f t="shared" si="5"/>
        <v>368272</v>
      </c>
      <c r="U13" s="21">
        <f t="shared" si="5"/>
        <v>248499</v>
      </c>
      <c r="V13" s="21">
        <f t="shared" si="5"/>
        <v>113950</v>
      </c>
      <c r="W13" s="21">
        <f t="shared" si="5"/>
        <v>9851</v>
      </c>
      <c r="X13" s="21">
        <f t="shared" si="5"/>
        <v>396860</v>
      </c>
      <c r="Y13" s="21">
        <f t="shared" si="5"/>
        <v>230362</v>
      </c>
      <c r="Z13" s="21">
        <f t="shared" si="5"/>
        <v>119588</v>
      </c>
      <c r="AA13" s="21">
        <f t="shared" si="5"/>
        <v>48278</v>
      </c>
      <c r="AB13" s="21">
        <f t="shared" si="5"/>
        <v>190026</v>
      </c>
      <c r="AC13" s="21">
        <f t="shared" ref="AC13:AE13" si="6">SUM(AC9:AC12)</f>
        <v>77257</v>
      </c>
      <c r="AD13" s="21">
        <f t="shared" si="6"/>
        <v>53098</v>
      </c>
      <c r="AE13" s="21">
        <f t="shared" si="6"/>
        <v>42170</v>
      </c>
      <c r="AF13" s="24"/>
      <c r="AMY13" s="49"/>
    </row>
  </sheetData>
  <phoneticPr fontId="29" type="noConversion"/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08080"/>
  </sheetPr>
  <dimension ref="A1:AMW79"/>
  <sheetViews>
    <sheetView showGridLines="0" zoomScale="90" zoomScaleNormal="90" workbookViewId="0">
      <pane ySplit="7" topLeftCell="A59" activePane="bottomLeft" state="frozen"/>
      <selection pane="bottomLeft"/>
    </sheetView>
  </sheetViews>
  <sheetFormatPr defaultColWidth="8.7109375" defaultRowHeight="15" x14ac:dyDescent="0.25"/>
  <cols>
    <col min="1" max="1" width="62.28515625" customWidth="1"/>
    <col min="2" max="2" width="11.140625" customWidth="1"/>
    <col min="3" max="3" width="9.5703125" bestFit="1" customWidth="1"/>
    <col min="4" max="4" width="11.140625" bestFit="1" customWidth="1"/>
    <col min="5" max="5" width="14" style="152" customWidth="1"/>
    <col min="6" max="6" width="13.140625" customWidth="1"/>
    <col min="7" max="11" width="11.7109375" customWidth="1"/>
    <col min="12" max="12" width="11.7109375" style="113" customWidth="1"/>
    <col min="13" max="14" width="9.42578125" bestFit="1" customWidth="1"/>
    <col min="15" max="15" width="12.28515625" customWidth="1"/>
    <col min="16" max="16" width="9.7109375" style="113" customWidth="1"/>
    <col min="17" max="19" width="9.42578125" bestFit="1" customWidth="1"/>
    <col min="20" max="20" width="11.28515625" customWidth="1"/>
    <col min="21" max="21" width="10.28515625" customWidth="1"/>
    <col min="22" max="22" width="9.85546875" customWidth="1"/>
    <col min="23" max="23" width="9.7109375" customWidth="1"/>
    <col min="24" max="24" width="10.140625" customWidth="1"/>
    <col min="25" max="25" width="10.28515625" customWidth="1"/>
    <col min="26" max="26" width="9.85546875" customWidth="1"/>
    <col min="27" max="27" width="9.7109375" customWidth="1"/>
    <col min="28" max="28" width="11.28515625" style="113" customWidth="1"/>
    <col min="29" max="29" width="10.28515625" customWidth="1"/>
    <col min="30" max="30" width="9.85546875" customWidth="1"/>
    <col min="31" max="31" width="9.7109375" customWidth="1"/>
    <col min="32" max="33" width="8.7109375" style="1"/>
    <col min="35" max="1037" width="8.7109375" hidden="1"/>
    <col min="1038" max="1040" width="11.5703125" customWidth="1"/>
  </cols>
  <sheetData>
    <row r="1" spans="1:34" ht="18" customHeight="1" x14ac:dyDescent="0.25">
      <c r="A1" s="1"/>
      <c r="B1" s="1"/>
      <c r="C1" s="1"/>
      <c r="D1" s="1"/>
      <c r="E1" s="145"/>
      <c r="F1" s="1"/>
      <c r="G1" s="1"/>
      <c r="H1" s="1"/>
      <c r="I1" s="1"/>
      <c r="J1" s="1"/>
      <c r="K1" s="1"/>
      <c r="AD1" s="1"/>
      <c r="AE1" s="1"/>
    </row>
    <row r="2" spans="1:34" ht="18" customHeight="1" x14ac:dyDescent="0.25">
      <c r="A2" s="1"/>
      <c r="B2" s="1"/>
      <c r="C2" s="1"/>
      <c r="D2" s="1"/>
      <c r="E2" s="145"/>
      <c r="F2" s="1"/>
      <c r="G2" s="1"/>
      <c r="H2" s="1"/>
      <c r="I2" s="1"/>
      <c r="J2" s="1"/>
      <c r="K2" s="1"/>
      <c r="AD2" s="1"/>
      <c r="AE2" s="1"/>
    </row>
    <row r="3" spans="1:34" s="1" customFormat="1" ht="18" customHeight="1" x14ac:dyDescent="0.25">
      <c r="A3" s="50"/>
      <c r="B3" s="50"/>
      <c r="C3" s="50"/>
      <c r="D3" s="50"/>
      <c r="E3" s="145"/>
      <c r="F3" s="50"/>
      <c r="G3" s="50"/>
      <c r="H3" s="50"/>
      <c r="I3" s="50"/>
      <c r="J3" s="50"/>
      <c r="K3" s="50"/>
      <c r="L3" s="126"/>
      <c r="M3" s="64"/>
      <c r="N3" s="64"/>
      <c r="O3" s="64"/>
      <c r="P3" s="126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8"/>
      <c r="AC3" s="127"/>
      <c r="AD3" s="51"/>
      <c r="AE3" s="51"/>
      <c r="AH3"/>
    </row>
    <row r="4" spans="1:34" ht="48" customHeight="1" x14ac:dyDescent="0.25">
      <c r="A4" s="1"/>
      <c r="B4" s="1"/>
      <c r="C4" s="1"/>
      <c r="D4" s="1"/>
      <c r="E4" s="145"/>
      <c r="F4" s="1"/>
      <c r="G4" s="1"/>
      <c r="H4" s="1"/>
      <c r="I4" s="1"/>
      <c r="J4" s="1"/>
      <c r="K4" s="1"/>
      <c r="Q4" s="124"/>
      <c r="R4" s="124"/>
      <c r="S4" s="124"/>
      <c r="T4" s="124"/>
      <c r="U4" s="124"/>
      <c r="V4" s="124"/>
      <c r="X4" s="129"/>
      <c r="Y4" s="124"/>
      <c r="Z4" s="124"/>
      <c r="AC4" s="124"/>
      <c r="AD4" s="7"/>
      <c r="AE4" s="1"/>
    </row>
    <row r="5" spans="1:34" ht="15.75" customHeight="1" x14ac:dyDescent="0.25">
      <c r="A5" s="1"/>
      <c r="B5" s="1"/>
      <c r="C5" s="1"/>
      <c r="D5" s="1"/>
      <c r="E5" s="145"/>
      <c r="F5" s="1"/>
      <c r="G5" s="1"/>
      <c r="H5" s="1"/>
      <c r="I5" s="1"/>
      <c r="J5" s="1"/>
      <c r="K5" s="1"/>
      <c r="Q5" s="125"/>
      <c r="R5" s="125"/>
      <c r="S5" s="125"/>
      <c r="T5" s="125"/>
      <c r="U5" s="125"/>
      <c r="V5" s="125"/>
      <c r="Y5" s="125"/>
      <c r="Z5" s="125"/>
      <c r="AC5" s="125"/>
      <c r="AD5" s="8"/>
      <c r="AE5" s="1"/>
    </row>
    <row r="6" spans="1:34" ht="15.75" customHeight="1" x14ac:dyDescent="0.25">
      <c r="A6" s="9" t="s">
        <v>114</v>
      </c>
      <c r="B6" s="9"/>
      <c r="C6" s="9"/>
      <c r="D6" s="9"/>
      <c r="E6" s="146"/>
      <c r="F6" s="9"/>
      <c r="L6"/>
      <c r="P6"/>
      <c r="AB6"/>
    </row>
    <row r="7" spans="1:34" ht="15.75" customHeight="1" x14ac:dyDescent="0.25">
      <c r="A7" s="8" t="s">
        <v>2</v>
      </c>
      <c r="B7" s="147" t="s">
        <v>278</v>
      </c>
      <c r="C7" s="147" t="s">
        <v>275</v>
      </c>
      <c r="D7" s="147" t="s">
        <v>274</v>
      </c>
      <c r="E7" s="147" t="s">
        <v>270</v>
      </c>
      <c r="F7" s="10" t="s">
        <v>269</v>
      </c>
      <c r="G7" s="10" t="s">
        <v>265</v>
      </c>
      <c r="H7" s="10" t="s">
        <v>263</v>
      </c>
      <c r="I7" s="10" t="s">
        <v>262</v>
      </c>
      <c r="J7" s="10" t="s">
        <v>260</v>
      </c>
      <c r="K7" s="10" t="s">
        <v>257</v>
      </c>
      <c r="L7" s="10" t="s">
        <v>255</v>
      </c>
      <c r="M7" s="10" t="s">
        <v>254</v>
      </c>
      <c r="N7" s="10" t="s">
        <v>250</v>
      </c>
      <c r="O7" s="10" t="s">
        <v>246</v>
      </c>
      <c r="P7" s="10" t="s">
        <v>3</v>
      </c>
      <c r="Q7" s="10" t="s">
        <v>4</v>
      </c>
      <c r="R7" s="10" t="s">
        <v>5</v>
      </c>
      <c r="S7" s="10" t="s">
        <v>6</v>
      </c>
      <c r="T7" s="10" t="s">
        <v>7</v>
      </c>
      <c r="U7" s="10" t="s">
        <v>8</v>
      </c>
      <c r="V7" s="10" t="s">
        <v>9</v>
      </c>
      <c r="W7" s="10" t="s">
        <v>10</v>
      </c>
      <c r="X7" s="10" t="s">
        <v>11</v>
      </c>
      <c r="Y7" s="10" t="s">
        <v>194</v>
      </c>
      <c r="Z7" s="10" t="s">
        <v>195</v>
      </c>
      <c r="AA7" s="10" t="s">
        <v>196</v>
      </c>
      <c r="AB7" s="10" t="s">
        <v>12</v>
      </c>
      <c r="AC7" s="10" t="s">
        <v>197</v>
      </c>
      <c r="AD7" s="10" t="s">
        <v>198</v>
      </c>
      <c r="AE7" s="10" t="s">
        <v>199</v>
      </c>
    </row>
    <row r="8" spans="1:34" ht="13.5" customHeight="1" x14ac:dyDescent="0.25">
      <c r="A8" s="25" t="s">
        <v>115</v>
      </c>
      <c r="B8" s="175">
        <f t="shared" ref="B8" si="0">SUM(B10,B27,B42)</f>
        <v>400001</v>
      </c>
      <c r="C8" s="148">
        <f t="shared" ref="C8:G8" si="1">SUM(C10,C27,C42)</f>
        <v>160672</v>
      </c>
      <c r="D8" s="148">
        <f t="shared" si="1"/>
        <v>846652</v>
      </c>
      <c r="E8" s="148">
        <f t="shared" si="1"/>
        <v>651286</v>
      </c>
      <c r="F8" s="21">
        <f t="shared" si="1"/>
        <v>381912</v>
      </c>
      <c r="G8" s="21">
        <f t="shared" si="1"/>
        <v>137034</v>
      </c>
      <c r="H8" s="21">
        <f t="shared" ref="H8:I8" si="2">SUM(H10,H27,H42)</f>
        <v>940896</v>
      </c>
      <c r="I8" s="21">
        <f t="shared" si="2"/>
        <v>695228</v>
      </c>
      <c r="J8" s="21">
        <f t="shared" ref="J8:K8" si="3">SUM(J10,J27,J42)</f>
        <v>352547</v>
      </c>
      <c r="K8" s="21">
        <f t="shared" si="3"/>
        <v>175098</v>
      </c>
      <c r="L8" s="21">
        <f t="shared" ref="L8:W8" si="4">SUM(L10,L27,L42)</f>
        <v>814064</v>
      </c>
      <c r="M8" s="21">
        <v>586934</v>
      </c>
      <c r="N8" s="21">
        <f t="shared" si="4"/>
        <v>303356</v>
      </c>
      <c r="O8" s="21">
        <f t="shared" ref="O8" si="5">SUM(O10,O27,O42)</f>
        <v>103398</v>
      </c>
      <c r="P8" s="21">
        <v>669090</v>
      </c>
      <c r="Q8" s="21">
        <f t="shared" si="4"/>
        <v>434344</v>
      </c>
      <c r="R8" s="21">
        <f t="shared" si="4"/>
        <v>223565</v>
      </c>
      <c r="S8" s="21">
        <f t="shared" si="4"/>
        <v>-49</v>
      </c>
      <c r="T8" s="21">
        <v>806428</v>
      </c>
      <c r="U8" s="21">
        <f t="shared" si="4"/>
        <v>560440</v>
      </c>
      <c r="V8" s="21">
        <f t="shared" si="4"/>
        <v>335186</v>
      </c>
      <c r="W8" s="21">
        <f t="shared" si="4"/>
        <v>142642</v>
      </c>
      <c r="X8" s="21">
        <v>384848</v>
      </c>
      <c r="Y8" s="21">
        <f t="shared" ref="Y8:AA8" si="6">SUM(Y10,Y27,Y42)</f>
        <v>335298</v>
      </c>
      <c r="Z8" s="21">
        <f t="shared" si="6"/>
        <v>207079</v>
      </c>
      <c r="AA8" s="21">
        <f t="shared" si="6"/>
        <v>46070</v>
      </c>
      <c r="AB8" s="21">
        <v>466247</v>
      </c>
      <c r="AC8" s="21">
        <f t="shared" ref="AC8:AE8" si="7">SUM(AC10,AC27,AC42)</f>
        <v>343363</v>
      </c>
      <c r="AD8" s="21">
        <f t="shared" si="7"/>
        <v>221170</v>
      </c>
      <c r="AE8" s="21">
        <f t="shared" si="7"/>
        <v>119599</v>
      </c>
    </row>
    <row r="9" spans="1:34" x14ac:dyDescent="0.25">
      <c r="A9" s="52"/>
      <c r="B9" s="52"/>
      <c r="C9" s="52"/>
      <c r="D9" s="52"/>
      <c r="E9" s="149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4" ht="13.5" customHeight="1" x14ac:dyDescent="0.25">
      <c r="A10" s="25" t="s">
        <v>116</v>
      </c>
      <c r="B10" s="175">
        <f t="shared" ref="B10" si="8">SUM(B11:B26)</f>
        <v>481403</v>
      </c>
      <c r="C10" s="148">
        <f t="shared" ref="C10:H10" si="9">SUM(C11:C26)</f>
        <v>205056</v>
      </c>
      <c r="D10" s="148">
        <f t="shared" si="9"/>
        <v>1092509</v>
      </c>
      <c r="E10" s="148">
        <f t="shared" si="9"/>
        <v>820151</v>
      </c>
      <c r="F10" s="21">
        <f t="shared" si="9"/>
        <v>512347</v>
      </c>
      <c r="G10" s="21">
        <f t="shared" si="9"/>
        <v>249074</v>
      </c>
      <c r="H10" s="21">
        <f t="shared" si="9"/>
        <v>992339</v>
      </c>
      <c r="I10" s="21">
        <f t="shared" ref="I10:J10" si="10">SUM(I11:I26)</f>
        <v>748971</v>
      </c>
      <c r="J10" s="21">
        <f t="shared" si="10"/>
        <v>476518</v>
      </c>
      <c r="K10" s="21">
        <f t="shared" ref="K10:L10" si="11">SUM(K11:K26)</f>
        <v>243148</v>
      </c>
      <c r="L10" s="21">
        <f t="shared" si="11"/>
        <v>1012258</v>
      </c>
      <c r="M10" s="21">
        <f t="shared" ref="M10:U10" si="12">SUM(M11:M26)</f>
        <v>726550</v>
      </c>
      <c r="N10" s="21">
        <f t="shared" si="12"/>
        <v>432266</v>
      </c>
      <c r="O10" s="21">
        <f t="shared" ref="O10" si="13">SUM(O11:O26)</f>
        <v>205979</v>
      </c>
      <c r="P10" s="21">
        <v>784374</v>
      </c>
      <c r="Q10" s="21">
        <f t="shared" si="12"/>
        <v>548315</v>
      </c>
      <c r="R10" s="21">
        <f t="shared" si="12"/>
        <v>301818</v>
      </c>
      <c r="S10" s="21">
        <f t="shared" si="12"/>
        <v>70302</v>
      </c>
      <c r="T10" s="21">
        <v>627556</v>
      </c>
      <c r="U10" s="21">
        <f t="shared" si="12"/>
        <v>500387</v>
      </c>
      <c r="V10" s="21">
        <f t="shared" ref="V10:W10" si="14">SUM(V11:V25)</f>
        <v>469232</v>
      </c>
      <c r="W10" s="21">
        <f t="shared" si="14"/>
        <v>199294</v>
      </c>
      <c r="X10" s="21">
        <v>658442</v>
      </c>
      <c r="Y10" s="21">
        <f t="shared" ref="Y10" si="15">SUM(Y11:Y26)</f>
        <v>586265</v>
      </c>
      <c r="Z10" s="21">
        <f t="shared" ref="Z10:AA10" si="16">SUM(Z11:Z25)</f>
        <v>354342</v>
      </c>
      <c r="AA10" s="21">
        <f t="shared" si="16"/>
        <v>189932</v>
      </c>
      <c r="AB10" s="21">
        <v>573242</v>
      </c>
      <c r="AC10" s="21">
        <f t="shared" ref="AC10" si="17">SUM(AC11:AC26)</f>
        <v>494029</v>
      </c>
      <c r="AD10" s="21">
        <f t="shared" ref="AD10:AE10" si="18">SUM(AD11:AD25)</f>
        <v>302726</v>
      </c>
      <c r="AE10" s="21">
        <f t="shared" si="18"/>
        <v>146904</v>
      </c>
    </row>
    <row r="11" spans="1:34" x14ac:dyDescent="0.25">
      <c r="A11" s="52" t="s">
        <v>117</v>
      </c>
      <c r="B11" s="170">
        <v>252470</v>
      </c>
      <c r="C11" s="27">
        <v>79018</v>
      </c>
      <c r="D11" s="27">
        <v>669769</v>
      </c>
      <c r="E11" s="27">
        <v>456022</v>
      </c>
      <c r="F11" s="27">
        <v>268801</v>
      </c>
      <c r="G11" s="27">
        <v>119240</v>
      </c>
      <c r="H11" s="27">
        <v>621594</v>
      </c>
      <c r="I11" s="27">
        <v>452843</v>
      </c>
      <c r="J11" s="27">
        <v>279453</v>
      </c>
      <c r="K11" s="27">
        <v>131756</v>
      </c>
      <c r="L11" s="27">
        <v>583856</v>
      </c>
      <c r="M11" s="27">
        <v>406310</v>
      </c>
      <c r="N11" s="27">
        <v>232566</v>
      </c>
      <c r="O11" s="27">
        <v>129741</v>
      </c>
      <c r="P11" s="27">
        <v>401636</v>
      </c>
      <c r="Q11" s="27">
        <v>287993</v>
      </c>
      <c r="R11" s="27">
        <v>149427</v>
      </c>
      <c r="S11" s="27">
        <v>23254</v>
      </c>
      <c r="T11" s="27">
        <v>352456</v>
      </c>
      <c r="U11" s="27">
        <v>248498</v>
      </c>
      <c r="V11" s="27">
        <v>111890</v>
      </c>
      <c r="W11" s="27">
        <v>9851</v>
      </c>
      <c r="X11" s="27">
        <v>336346</v>
      </c>
      <c r="Y11" s="27">
        <v>230357</v>
      </c>
      <c r="Z11" s="27">
        <v>119584</v>
      </c>
      <c r="AA11" s="27">
        <v>48275</v>
      </c>
      <c r="AB11" s="27">
        <v>275062</v>
      </c>
      <c r="AC11" s="27">
        <v>77235</v>
      </c>
      <c r="AD11" s="27">
        <v>53081</v>
      </c>
      <c r="AE11" s="27">
        <v>42160</v>
      </c>
    </row>
    <row r="12" spans="1:34" x14ac:dyDescent="0.25">
      <c r="A12" s="53"/>
      <c r="B12" s="53"/>
      <c r="C12" s="53"/>
      <c r="D12" s="53"/>
      <c r="E12" s="150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</row>
    <row r="13" spans="1:34" ht="13.5" customHeight="1" x14ac:dyDescent="0.25">
      <c r="A13" s="25" t="s">
        <v>118</v>
      </c>
      <c r="B13" s="25"/>
      <c r="C13" s="25"/>
      <c r="D13" s="25"/>
      <c r="E13" s="15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4" x14ac:dyDescent="0.25">
      <c r="A14" s="52" t="s">
        <v>119</v>
      </c>
      <c r="B14" s="170">
        <v>128929</v>
      </c>
      <c r="C14" s="27">
        <v>63478</v>
      </c>
      <c r="D14" s="27">
        <v>223429</v>
      </c>
      <c r="E14" s="27">
        <v>166638</v>
      </c>
      <c r="F14" s="27">
        <v>109564</v>
      </c>
      <c r="G14" s="27">
        <v>52378</v>
      </c>
      <c r="H14" s="27">
        <v>192702</v>
      </c>
      <c r="I14" s="27">
        <v>145146</v>
      </c>
      <c r="J14" s="27">
        <v>95660</v>
      </c>
      <c r="K14" s="27">
        <v>47302</v>
      </c>
      <c r="L14" s="27">
        <v>179382</v>
      </c>
      <c r="M14" s="27">
        <v>131704</v>
      </c>
      <c r="N14" s="27">
        <v>85939</v>
      </c>
      <c r="O14" s="27">
        <v>41937</v>
      </c>
      <c r="P14" s="27">
        <v>145706</v>
      </c>
      <c r="Q14" s="27">
        <v>105325</v>
      </c>
      <c r="R14" s="27">
        <v>68252</v>
      </c>
      <c r="S14" s="27">
        <v>33775</v>
      </c>
      <c r="T14" s="27">
        <v>129708</v>
      </c>
      <c r="U14" s="27">
        <v>100019</v>
      </c>
      <c r="V14" s="27">
        <v>66386</v>
      </c>
      <c r="W14" s="27">
        <v>33212</v>
      </c>
      <c r="X14" s="27">
        <v>131982</v>
      </c>
      <c r="Y14" s="27">
        <v>98837</v>
      </c>
      <c r="Z14" s="27">
        <v>65720</v>
      </c>
      <c r="AA14" s="27">
        <v>32205</v>
      </c>
      <c r="AB14" s="27">
        <v>124647</v>
      </c>
      <c r="AC14" s="27">
        <v>182324</v>
      </c>
      <c r="AD14" s="27">
        <v>120004</v>
      </c>
      <c r="AE14" s="27">
        <v>57992</v>
      </c>
    </row>
    <row r="15" spans="1:34" x14ac:dyDescent="0.25">
      <c r="A15" s="55" t="s">
        <v>253</v>
      </c>
      <c r="B15" s="167">
        <v>539</v>
      </c>
      <c r="C15" s="19">
        <v>390</v>
      </c>
      <c r="D15" s="19">
        <v>6327</v>
      </c>
      <c r="E15" s="19">
        <v>753</v>
      </c>
      <c r="F15" s="19">
        <v>-3300</v>
      </c>
      <c r="G15" s="19">
        <v>-346</v>
      </c>
      <c r="H15" s="19">
        <v>380</v>
      </c>
      <c r="I15" s="19">
        <v>333</v>
      </c>
      <c r="J15" s="19">
        <v>325</v>
      </c>
      <c r="K15" s="19">
        <v>249</v>
      </c>
      <c r="L15" s="19">
        <v>1416</v>
      </c>
      <c r="M15" s="19">
        <v>1305</v>
      </c>
      <c r="N15" s="19">
        <v>110</v>
      </c>
      <c r="O15" s="19">
        <v>368</v>
      </c>
      <c r="P15" s="19">
        <v>1380</v>
      </c>
      <c r="Q15" s="19">
        <v>1283</v>
      </c>
      <c r="R15" s="19">
        <v>892</v>
      </c>
      <c r="S15" s="19">
        <v>892</v>
      </c>
      <c r="T15" s="19">
        <v>3285</v>
      </c>
      <c r="U15" s="19">
        <v>3559</v>
      </c>
      <c r="V15" s="19">
        <v>921</v>
      </c>
      <c r="W15" s="19">
        <v>920</v>
      </c>
      <c r="X15" s="19">
        <v>9745</v>
      </c>
      <c r="Y15" s="19">
        <v>5135</v>
      </c>
      <c r="Z15" s="19">
        <v>3196</v>
      </c>
      <c r="AA15" s="19">
        <v>3295</v>
      </c>
      <c r="AB15" s="19">
        <v>4391</v>
      </c>
      <c r="AC15" s="19">
        <v>-575</v>
      </c>
      <c r="AD15" s="19">
        <v>-9151</v>
      </c>
      <c r="AE15" s="19">
        <v>-280</v>
      </c>
    </row>
    <row r="16" spans="1:34" x14ac:dyDescent="0.25">
      <c r="A16" s="52" t="s">
        <v>120</v>
      </c>
      <c r="B16" s="170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-467</v>
      </c>
      <c r="Q16" s="27">
        <v>-1557</v>
      </c>
      <c r="R16" s="27">
        <v>-491</v>
      </c>
      <c r="S16" s="27">
        <v>-100</v>
      </c>
      <c r="T16" s="27">
        <v>-35</v>
      </c>
      <c r="U16" s="27">
        <v>0</v>
      </c>
      <c r="V16" s="27"/>
      <c r="W16" s="27"/>
      <c r="X16" s="27">
        <v>-79</v>
      </c>
      <c r="Y16" s="27"/>
      <c r="Z16" s="27"/>
      <c r="AA16" s="27"/>
      <c r="AB16" s="27"/>
      <c r="AC16" s="27"/>
      <c r="AD16" s="27"/>
      <c r="AE16" s="27"/>
    </row>
    <row r="17" spans="1:31" x14ac:dyDescent="0.25">
      <c r="A17" s="55" t="s">
        <v>121</v>
      </c>
      <c r="B17" s="167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/>
      <c r="Z17" s="19"/>
      <c r="AA17" s="19"/>
      <c r="AB17" s="19">
        <v>0</v>
      </c>
      <c r="AC17" s="19"/>
      <c r="AD17" s="19"/>
      <c r="AE17" s="19"/>
    </row>
    <row r="18" spans="1:31" x14ac:dyDescent="0.25">
      <c r="A18" s="52" t="s">
        <v>122</v>
      </c>
      <c r="B18" s="170">
        <v>683</v>
      </c>
      <c r="C18" s="27">
        <v>17</v>
      </c>
      <c r="D18" s="27">
        <v>500</v>
      </c>
      <c r="E18" s="27">
        <v>471</v>
      </c>
      <c r="F18" s="27">
        <v>-128</v>
      </c>
      <c r="G18" s="27">
        <v>-88</v>
      </c>
      <c r="H18" s="27">
        <v>488</v>
      </c>
      <c r="I18" s="27">
        <v>-46</v>
      </c>
      <c r="J18" s="27">
        <v>-117</v>
      </c>
      <c r="K18" s="27">
        <v>-181</v>
      </c>
      <c r="L18" s="27">
        <v>74</v>
      </c>
      <c r="M18" s="27">
        <v>-943</v>
      </c>
      <c r="N18" s="27">
        <v>-774</v>
      </c>
      <c r="O18" s="27">
        <v>-291</v>
      </c>
      <c r="P18" s="27">
        <v>-2109</v>
      </c>
      <c r="Q18" s="27">
        <v>-1800</v>
      </c>
      <c r="R18" s="27">
        <v>-1320</v>
      </c>
      <c r="S18" s="27">
        <v>-562</v>
      </c>
      <c r="T18" s="27">
        <v>752</v>
      </c>
      <c r="U18" s="27">
        <v>1220</v>
      </c>
      <c r="V18" s="27">
        <v>785</v>
      </c>
      <c r="W18" s="27">
        <v>294</v>
      </c>
      <c r="X18" s="27">
        <v>-484</v>
      </c>
      <c r="Y18" s="27">
        <v>-1074</v>
      </c>
      <c r="Z18" s="27">
        <v>-664</v>
      </c>
      <c r="AA18" s="27">
        <v>-224</v>
      </c>
      <c r="AB18" s="27">
        <v>-2100</v>
      </c>
      <c r="AC18" s="27">
        <v>-1707</v>
      </c>
      <c r="AD18" s="27">
        <v>-1292</v>
      </c>
      <c r="AE18" s="27">
        <v>-727</v>
      </c>
    </row>
    <row r="19" spans="1:31" x14ac:dyDescent="0.25">
      <c r="A19" s="55" t="s">
        <v>123</v>
      </c>
      <c r="B19" s="167">
        <v>12949</v>
      </c>
      <c r="C19" s="19">
        <v>968</v>
      </c>
      <c r="D19" s="19">
        <v>23749</v>
      </c>
      <c r="E19" s="19">
        <v>18429</v>
      </c>
      <c r="F19" s="19">
        <v>2800</v>
      </c>
      <c r="G19" s="19">
        <v>-7639</v>
      </c>
      <c r="H19" s="19">
        <v>31239</v>
      </c>
      <c r="I19" s="19">
        <v>10320</v>
      </c>
      <c r="J19" s="19">
        <v>14137</v>
      </c>
      <c r="K19" s="19">
        <v>487</v>
      </c>
      <c r="L19" s="19">
        <v>23598</v>
      </c>
      <c r="M19" s="19">
        <v>8726</v>
      </c>
      <c r="N19" s="19">
        <v>12681</v>
      </c>
      <c r="O19" s="19">
        <v>20941</v>
      </c>
      <c r="P19" s="19">
        <v>25939</v>
      </c>
      <c r="Q19" s="19">
        <v>25890</v>
      </c>
      <c r="R19" s="19">
        <v>18319</v>
      </c>
      <c r="S19" s="19">
        <v>9545</v>
      </c>
      <c r="T19" s="19">
        <v>67562</v>
      </c>
      <c r="U19" s="19">
        <v>30652</v>
      </c>
      <c r="V19" s="19">
        <v>6999</v>
      </c>
      <c r="W19" s="19">
        <v>-12790</v>
      </c>
      <c r="X19" s="19">
        <v>68969</v>
      </c>
      <c r="Y19" s="19">
        <v>55045</v>
      </c>
      <c r="Z19" s="19">
        <v>31457</v>
      </c>
      <c r="AA19" s="19">
        <v>7919</v>
      </c>
      <c r="AB19" s="19">
        <v>65947</v>
      </c>
      <c r="AC19" s="19">
        <v>-11214</v>
      </c>
      <c r="AD19" s="19">
        <v>-8856</v>
      </c>
      <c r="AE19" s="19">
        <v>4130</v>
      </c>
    </row>
    <row r="20" spans="1:31" x14ac:dyDescent="0.25">
      <c r="A20" s="52" t="s">
        <v>124</v>
      </c>
      <c r="B20" s="170">
        <v>111783</v>
      </c>
      <c r="C20" s="27">
        <v>53706</v>
      </c>
      <c r="D20" s="27">
        <v>198238</v>
      </c>
      <c r="E20" s="27">
        <v>141990</v>
      </c>
      <c r="F20" s="27">
        <v>84157</v>
      </c>
      <c r="G20" s="27">
        <v>34046</v>
      </c>
      <c r="H20" s="27">
        <v>152194</v>
      </c>
      <c r="I20" s="27">
        <v>111918</v>
      </c>
      <c r="J20" s="27">
        <v>74124</v>
      </c>
      <c r="K20" s="27">
        <v>36580</v>
      </c>
      <c r="L20" s="27">
        <v>143168</v>
      </c>
      <c r="M20" s="27">
        <v>104231</v>
      </c>
      <c r="N20" s="27">
        <v>67104</v>
      </c>
      <c r="O20" s="27">
        <v>35216</v>
      </c>
      <c r="P20" s="27">
        <v>129349</v>
      </c>
      <c r="Q20" s="27">
        <v>92320</v>
      </c>
      <c r="R20" s="27">
        <v>52591</v>
      </c>
      <c r="S20" s="27">
        <v>16165</v>
      </c>
      <c r="T20" s="27">
        <v>96565</v>
      </c>
      <c r="U20" s="27">
        <v>66493</v>
      </c>
      <c r="V20" s="27">
        <v>35363</v>
      </c>
      <c r="W20" s="27">
        <v>28153</v>
      </c>
      <c r="X20" s="27">
        <v>112158</v>
      </c>
      <c r="Y20" s="27">
        <v>100376</v>
      </c>
      <c r="Z20" s="27">
        <v>74693</v>
      </c>
      <c r="AA20" s="27">
        <v>47747</v>
      </c>
      <c r="AB20" s="27">
        <v>97825</v>
      </c>
      <c r="AC20" s="27">
        <v>81227</v>
      </c>
      <c r="AD20" s="27">
        <v>51078</v>
      </c>
      <c r="AE20" s="27">
        <v>24594</v>
      </c>
    </row>
    <row r="21" spans="1:31" x14ac:dyDescent="0.25">
      <c r="A21" s="55" t="s">
        <v>125</v>
      </c>
      <c r="B21" s="167">
        <v>-32526</v>
      </c>
      <c r="C21" s="19">
        <v>-11803</v>
      </c>
      <c r="D21" s="19">
        <v>-75231</v>
      </c>
      <c r="E21" s="19">
        <v>-2074</v>
      </c>
      <c r="F21" s="19">
        <v>-1194</v>
      </c>
      <c r="G21" s="19">
        <v>-498</v>
      </c>
      <c r="H21" s="19">
        <v>-485</v>
      </c>
      <c r="I21" s="19">
        <v>-78</v>
      </c>
      <c r="J21" s="19">
        <v>-5</v>
      </c>
      <c r="K21" s="19">
        <v>0</v>
      </c>
      <c r="L21" s="19">
        <v>-5</v>
      </c>
      <c r="M21" s="19">
        <v>-5</v>
      </c>
      <c r="N21" s="19">
        <v>-5</v>
      </c>
      <c r="O21" s="19">
        <v>-5</v>
      </c>
      <c r="P21" s="19">
        <v>-134</v>
      </c>
      <c r="Q21" s="19">
        <v>-72</v>
      </c>
      <c r="R21" s="19">
        <v>-70</v>
      </c>
      <c r="S21" s="19">
        <v>-64</v>
      </c>
      <c r="T21" s="19">
        <v>-451</v>
      </c>
      <c r="U21" s="19">
        <v>-280</v>
      </c>
      <c r="V21" s="19">
        <v>112</v>
      </c>
      <c r="W21" s="19">
        <v>213</v>
      </c>
      <c r="X21" s="19">
        <v>-1311</v>
      </c>
      <c r="Y21" s="19">
        <v>1065</v>
      </c>
      <c r="Z21" s="19">
        <v>785</v>
      </c>
      <c r="AA21" s="19">
        <v>463</v>
      </c>
      <c r="AB21" s="19">
        <v>9529</v>
      </c>
      <c r="AC21" s="19">
        <v>7022</v>
      </c>
      <c r="AD21" s="19">
        <v>2888</v>
      </c>
      <c r="AE21" s="19">
        <v>1540</v>
      </c>
    </row>
    <row r="22" spans="1:31" x14ac:dyDescent="0.25">
      <c r="A22" s="52" t="s">
        <v>248</v>
      </c>
      <c r="B22" s="170">
        <v>-405</v>
      </c>
      <c r="C22" s="27">
        <v>-201</v>
      </c>
      <c r="D22" s="27">
        <v>-1320</v>
      </c>
      <c r="E22" s="27">
        <v>-994</v>
      </c>
      <c r="F22" s="27">
        <v>-593</v>
      </c>
      <c r="G22" s="27">
        <v>-306</v>
      </c>
      <c r="H22" s="27">
        <v>-4621</v>
      </c>
      <c r="I22" s="27">
        <v>-4409</v>
      </c>
      <c r="J22" s="27">
        <v>-312</v>
      </c>
      <c r="K22" s="27">
        <v>-176</v>
      </c>
      <c r="L22" s="27">
        <v>-676</v>
      </c>
      <c r="M22" s="27">
        <v>-547</v>
      </c>
      <c r="N22" s="27">
        <v>-339</v>
      </c>
      <c r="O22" s="27">
        <v>-195</v>
      </c>
      <c r="P22" s="27">
        <v>-1345</v>
      </c>
      <c r="Q22" s="27">
        <v>-1033</v>
      </c>
      <c r="R22" s="27">
        <v>-591</v>
      </c>
      <c r="S22" s="27">
        <v>-309</v>
      </c>
      <c r="T22" s="27">
        <v>-505</v>
      </c>
      <c r="U22" s="27">
        <v>-290</v>
      </c>
      <c r="V22" s="27"/>
      <c r="W22" s="27"/>
      <c r="X22" s="27">
        <v>-162</v>
      </c>
      <c r="Y22" s="27">
        <v>-418</v>
      </c>
      <c r="Z22" s="27"/>
      <c r="AA22" s="27"/>
      <c r="AB22" s="27"/>
      <c r="AC22" s="27"/>
      <c r="AD22" s="27"/>
      <c r="AE22" s="27"/>
    </row>
    <row r="23" spans="1:31" x14ac:dyDescent="0.25">
      <c r="A23" s="55" t="s">
        <v>126</v>
      </c>
      <c r="B23" s="167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-143</v>
      </c>
      <c r="Q23" s="19">
        <v>-143</v>
      </c>
      <c r="R23" s="19">
        <v>-147</v>
      </c>
      <c r="S23" s="19">
        <v>-104</v>
      </c>
      <c r="T23" s="19">
        <v>-281</v>
      </c>
      <c r="U23" s="19">
        <v>-128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x14ac:dyDescent="0.25">
      <c r="A24" s="52" t="s">
        <v>127</v>
      </c>
      <c r="B24" s="170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 t="s">
        <v>17</v>
      </c>
      <c r="V24" s="27">
        <v>158387</v>
      </c>
      <c r="W24" s="27">
        <v>44226</v>
      </c>
      <c r="X24" s="27">
        <v>0</v>
      </c>
      <c r="Y24" s="27">
        <v>108462</v>
      </c>
      <c r="Z24" s="27">
        <v>58416</v>
      </c>
      <c r="AA24" s="27">
        <v>38476</v>
      </c>
      <c r="AB24" s="27">
        <v>0</v>
      </c>
      <c r="AC24" s="27">
        <v>126198</v>
      </c>
      <c r="AD24" s="27">
        <v>51787</v>
      </c>
      <c r="AE24" s="27">
        <v>37702</v>
      </c>
    </row>
    <row r="25" spans="1:31" x14ac:dyDescent="0.25">
      <c r="A25" s="55" t="s">
        <v>171</v>
      </c>
      <c r="B25" s="167">
        <v>6981</v>
      </c>
      <c r="C25" s="19">
        <v>19483</v>
      </c>
      <c r="D25" s="19">
        <v>47048</v>
      </c>
      <c r="E25" s="19">
        <v>38916</v>
      </c>
      <c r="F25" s="19">
        <v>52240</v>
      </c>
      <c r="G25" s="19">
        <v>52287</v>
      </c>
      <c r="H25" s="19">
        <v>-1152</v>
      </c>
      <c r="I25" s="19">
        <v>32944</v>
      </c>
      <c r="J25" s="19">
        <v>13253</v>
      </c>
      <c r="K25" s="19">
        <v>27131</v>
      </c>
      <c r="L25" s="19">
        <v>81445</v>
      </c>
      <c r="M25" s="19">
        <v>75769</v>
      </c>
      <c r="N25" s="19">
        <v>34984</v>
      </c>
      <c r="O25" s="19">
        <v>-21733</v>
      </c>
      <c r="P25" s="19">
        <v>84562</v>
      </c>
      <c r="Q25" s="19">
        <v>40109</v>
      </c>
      <c r="R25" s="19">
        <v>14956</v>
      </c>
      <c r="S25" s="19">
        <v>-12190</v>
      </c>
      <c r="T25" s="19">
        <v>-15139</v>
      </c>
      <c r="U25" s="19">
        <v>55027</v>
      </c>
      <c r="V25" s="19">
        <v>88389</v>
      </c>
      <c r="W25" s="19">
        <v>95215</v>
      </c>
      <c r="X25" s="19">
        <v>1278</v>
      </c>
      <c r="Y25" s="19">
        <v>-11520</v>
      </c>
      <c r="Z25" s="19">
        <v>1155</v>
      </c>
      <c r="AA25" s="19">
        <v>11776</v>
      </c>
      <c r="AB25" s="19">
        <v>-2059</v>
      </c>
      <c r="AC25" s="19">
        <v>33519</v>
      </c>
      <c r="AD25" s="19">
        <f>8108+35079</f>
        <v>43187</v>
      </c>
      <c r="AE25" s="19">
        <v>-20207</v>
      </c>
    </row>
    <row r="26" spans="1:31" x14ac:dyDescent="0.25">
      <c r="A26" s="52" t="s">
        <v>128</v>
      </c>
      <c r="B26" s="170">
        <v>0</v>
      </c>
      <c r="C26" s="27">
        <v>0</v>
      </c>
      <c r="D26" s="27">
        <v>0</v>
      </c>
      <c r="E26" s="27">
        <v>0</v>
      </c>
      <c r="F26" s="27">
        <v>0</v>
      </c>
      <c r="G26" s="27" t="s">
        <v>17</v>
      </c>
      <c r="H26" s="27" t="s">
        <v>17</v>
      </c>
      <c r="I26" s="27" t="s">
        <v>17</v>
      </c>
      <c r="J26" s="27" t="s">
        <v>17</v>
      </c>
      <c r="K26" s="27" t="s">
        <v>17</v>
      </c>
      <c r="L26" s="27" t="s">
        <v>17</v>
      </c>
      <c r="M26" s="27" t="s">
        <v>17</v>
      </c>
      <c r="N26" s="27" t="s">
        <v>17</v>
      </c>
      <c r="O26" s="27">
        <v>0</v>
      </c>
      <c r="P26" s="27">
        <v>0</v>
      </c>
      <c r="Q26" s="27" t="s">
        <v>17</v>
      </c>
      <c r="R26" s="27" t="s">
        <v>17</v>
      </c>
      <c r="S26" s="27" t="s">
        <v>17</v>
      </c>
      <c r="T26" s="27">
        <v>-6361</v>
      </c>
      <c r="U26" s="27">
        <v>-4383</v>
      </c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ht="13.5" customHeight="1" x14ac:dyDescent="0.25">
      <c r="A27" s="25" t="s">
        <v>129</v>
      </c>
      <c r="B27" s="175">
        <f t="shared" ref="B27" si="19">SUM(B28:B41)</f>
        <v>-105476</v>
      </c>
      <c r="C27" s="148">
        <f t="shared" ref="C27:G27" si="20">SUM(C28:C41)</f>
        <v>-52132</v>
      </c>
      <c r="D27" s="148">
        <f t="shared" si="20"/>
        <v>-264302</v>
      </c>
      <c r="E27" s="148">
        <f t="shared" si="20"/>
        <v>-190460</v>
      </c>
      <c r="F27" s="21">
        <f t="shared" si="20"/>
        <v>-144931</v>
      </c>
      <c r="G27" s="21">
        <f t="shared" si="20"/>
        <v>-106459</v>
      </c>
      <c r="H27" s="21">
        <f t="shared" ref="H27:I27" si="21">SUM(H28:H41)</f>
        <v>-57545</v>
      </c>
      <c r="I27" s="21">
        <f t="shared" si="21"/>
        <v>-62476</v>
      </c>
      <c r="J27" s="21">
        <f t="shared" ref="J27:K27" si="22">SUM(J28:J41)</f>
        <v>-131488</v>
      </c>
      <c r="K27" s="21">
        <f t="shared" si="22"/>
        <v>-75822</v>
      </c>
      <c r="L27" s="21">
        <f t="shared" ref="L27:M27" si="23">SUM(L28:L41)</f>
        <v>-207931</v>
      </c>
      <c r="M27" s="21">
        <f t="shared" si="23"/>
        <v>-140672</v>
      </c>
      <c r="N27" s="21">
        <f t="shared" ref="N27" si="24">SUM(N28:N41)</f>
        <v>-135632</v>
      </c>
      <c r="O27" s="21">
        <f t="shared" ref="O27" si="25">SUM(O28:O41)</f>
        <v>-102181</v>
      </c>
      <c r="P27" s="21">
        <v>-110604</v>
      </c>
      <c r="Q27" s="21">
        <f t="shared" ref="Q27:W27" si="26">SUM(Q28:Q41)</f>
        <v>-119567</v>
      </c>
      <c r="R27" s="21">
        <f t="shared" si="26"/>
        <v>-114420</v>
      </c>
      <c r="S27" s="21">
        <f t="shared" si="26"/>
        <v>-70556</v>
      </c>
      <c r="T27" s="21">
        <v>185059</v>
      </c>
      <c r="U27" s="21">
        <f t="shared" si="26"/>
        <v>63460</v>
      </c>
      <c r="V27" s="21">
        <f t="shared" si="26"/>
        <v>-142893</v>
      </c>
      <c r="W27" s="21">
        <f t="shared" si="26"/>
        <v>-66582</v>
      </c>
      <c r="X27" s="21">
        <v>-277136</v>
      </c>
      <c r="Y27" s="21">
        <f t="shared" ref="Y27:AA27" si="27">SUM(Y28:Y41)</f>
        <v>-255292</v>
      </c>
      <c r="Z27" s="21">
        <f t="shared" si="27"/>
        <v>-147536</v>
      </c>
      <c r="AA27" s="21">
        <f t="shared" si="27"/>
        <v>-148608</v>
      </c>
      <c r="AB27" s="21">
        <v>-86826</v>
      </c>
      <c r="AC27" s="21">
        <f t="shared" ref="AC27:AE27" si="28">SUM(AC28:AC41)</f>
        <v>-132102</v>
      </c>
      <c r="AD27" s="21">
        <f t="shared" si="28"/>
        <v>-72861</v>
      </c>
      <c r="AE27" s="21">
        <f t="shared" si="28"/>
        <v>-5492</v>
      </c>
    </row>
    <row r="28" spans="1:31" x14ac:dyDescent="0.25">
      <c r="A28" s="52" t="s">
        <v>19</v>
      </c>
      <c r="B28" s="170">
        <v>-85071</v>
      </c>
      <c r="C28" s="27">
        <v>-9431</v>
      </c>
      <c r="D28" s="27">
        <v>-146851</v>
      </c>
      <c r="E28" s="27">
        <v>-157638</v>
      </c>
      <c r="F28" s="27">
        <v>-108327</v>
      </c>
      <c r="G28" s="27">
        <v>-55804</v>
      </c>
      <c r="H28" s="27">
        <v>-66086</v>
      </c>
      <c r="I28" s="27">
        <v>-109105</v>
      </c>
      <c r="J28" s="27">
        <v>-69806</v>
      </c>
      <c r="K28" s="27">
        <v>-18953</v>
      </c>
      <c r="L28" s="27">
        <v>-191651</v>
      </c>
      <c r="M28" s="27">
        <v>-159660</v>
      </c>
      <c r="N28" s="27">
        <v>-94792</v>
      </c>
      <c r="O28" s="27">
        <v>-24221</v>
      </c>
      <c r="P28" s="27">
        <v>-138947</v>
      </c>
      <c r="Q28" s="27">
        <v>-147910</v>
      </c>
      <c r="R28" s="27">
        <v>-90776</v>
      </c>
      <c r="S28" s="27">
        <v>-51869</v>
      </c>
      <c r="T28" s="27">
        <v>102223</v>
      </c>
      <c r="U28" s="27">
        <v>-33117</v>
      </c>
      <c r="V28" s="27">
        <v>-176865</v>
      </c>
      <c r="W28" s="27">
        <v>-49165</v>
      </c>
      <c r="X28" s="27">
        <v>-76660</v>
      </c>
      <c r="Y28" s="27">
        <v>-205867</v>
      </c>
      <c r="Z28" s="27">
        <v>-137966</v>
      </c>
      <c r="AA28" s="27">
        <v>-59239</v>
      </c>
      <c r="AB28" s="27">
        <v>-48365</v>
      </c>
      <c r="AC28" s="27">
        <v>-153585</v>
      </c>
      <c r="AD28" s="27">
        <v>-61428</v>
      </c>
      <c r="AE28" s="27">
        <v>-18731</v>
      </c>
    </row>
    <row r="29" spans="1:31" x14ac:dyDescent="0.25">
      <c r="A29" s="55" t="s">
        <v>21</v>
      </c>
      <c r="B29" s="167">
        <v>-6264</v>
      </c>
      <c r="C29" s="19">
        <v>-5296</v>
      </c>
      <c r="D29" s="19">
        <v>-3801</v>
      </c>
      <c r="E29" s="19">
        <v>-9641</v>
      </c>
      <c r="F29" s="19">
        <v>-4154</v>
      </c>
      <c r="G29" s="19">
        <v>-1543</v>
      </c>
      <c r="H29" s="19">
        <v>-10224</v>
      </c>
      <c r="I29" s="19">
        <v>2792</v>
      </c>
      <c r="J29" s="19">
        <v>-4256</v>
      </c>
      <c r="K29" s="19">
        <v>-6284</v>
      </c>
      <c r="L29" s="19">
        <v>1934</v>
      </c>
      <c r="M29" s="19">
        <v>9029</v>
      </c>
      <c r="N29" s="19">
        <v>-390</v>
      </c>
      <c r="O29" s="19">
        <v>-3061</v>
      </c>
      <c r="P29" s="19">
        <v>-9592</v>
      </c>
      <c r="Q29" s="19">
        <v>2219</v>
      </c>
      <c r="R29" s="19">
        <v>-5865</v>
      </c>
      <c r="S29" s="19">
        <v>-13149</v>
      </c>
      <c r="T29" s="19">
        <v>10520</v>
      </c>
      <c r="U29" s="19">
        <v>13468</v>
      </c>
      <c r="V29" s="19">
        <v>-537</v>
      </c>
      <c r="W29" s="19">
        <v>-144</v>
      </c>
      <c r="X29" s="19">
        <v>-12060</v>
      </c>
      <c r="Y29" s="19">
        <v>-5379</v>
      </c>
      <c r="Z29" s="19">
        <v>-582</v>
      </c>
      <c r="AA29" s="19">
        <v>-362</v>
      </c>
      <c r="AB29" s="19">
        <v>1248</v>
      </c>
      <c r="AC29" s="19">
        <v>3146</v>
      </c>
      <c r="AD29" s="19">
        <v>-627</v>
      </c>
      <c r="AE29" s="19">
        <v>-308</v>
      </c>
    </row>
    <row r="30" spans="1:31" x14ac:dyDescent="0.25">
      <c r="A30" s="52" t="s">
        <v>20</v>
      </c>
      <c r="B30" s="170">
        <v>-19304</v>
      </c>
      <c r="C30" s="27">
        <v>-9644</v>
      </c>
      <c r="D30" s="27">
        <v>-93269</v>
      </c>
      <c r="E30" s="27">
        <v>-27786</v>
      </c>
      <c r="F30" s="27">
        <v>-3740</v>
      </c>
      <c r="G30" s="27">
        <v>656</v>
      </c>
      <c r="H30" s="27">
        <v>6006</v>
      </c>
      <c r="I30" s="27">
        <v>944</v>
      </c>
      <c r="J30" s="27">
        <v>-4118</v>
      </c>
      <c r="K30" s="27">
        <v>-5764</v>
      </c>
      <c r="L30" s="27">
        <v>-20885</v>
      </c>
      <c r="M30" s="27">
        <v>-18501</v>
      </c>
      <c r="N30" s="27">
        <v>-17626</v>
      </c>
      <c r="O30" s="27">
        <v>-11187</v>
      </c>
      <c r="P30" s="27">
        <v>-17604</v>
      </c>
      <c r="Q30" s="27">
        <v>-11201</v>
      </c>
      <c r="R30" s="27">
        <v>-13137</v>
      </c>
      <c r="S30" s="27">
        <v>-7689</v>
      </c>
      <c r="T30" s="27">
        <v>23195</v>
      </c>
      <c r="U30" s="27">
        <v>20009</v>
      </c>
      <c r="V30" s="27">
        <v>13461</v>
      </c>
      <c r="W30" s="27">
        <v>4513</v>
      </c>
      <c r="X30" s="27">
        <v>7650</v>
      </c>
      <c r="Y30" s="27">
        <v>-7799</v>
      </c>
      <c r="Z30" s="27">
        <v>687</v>
      </c>
      <c r="AA30" s="27">
        <v>-2294</v>
      </c>
      <c r="AB30" s="27">
        <v>11798</v>
      </c>
      <c r="AC30" s="27">
        <v>4071</v>
      </c>
      <c r="AD30" s="27">
        <v>-1799</v>
      </c>
      <c r="AE30" s="27">
        <v>-11488</v>
      </c>
    </row>
    <row r="31" spans="1:31" x14ac:dyDescent="0.25">
      <c r="A31" s="55" t="s">
        <v>130</v>
      </c>
      <c r="B31" s="167">
        <v>-8049</v>
      </c>
      <c r="C31" s="19">
        <v>-5366</v>
      </c>
      <c r="D31" s="19">
        <v>20067</v>
      </c>
      <c r="E31" s="19">
        <v>-8490</v>
      </c>
      <c r="F31" s="19">
        <v>-6170</v>
      </c>
      <c r="G31" s="19">
        <v>-3915</v>
      </c>
      <c r="H31" s="19">
        <v>-12863</v>
      </c>
      <c r="I31" s="19">
        <v>-33042</v>
      </c>
      <c r="J31" s="19">
        <v>-35256</v>
      </c>
      <c r="K31" s="19">
        <v>-30699</v>
      </c>
      <c r="L31" s="19">
        <v>-28257</v>
      </c>
      <c r="M31" s="19">
        <v>-11658</v>
      </c>
      <c r="N31" s="19">
        <v>-12747</v>
      </c>
      <c r="O31" s="19">
        <v>-6383</v>
      </c>
      <c r="P31" s="19">
        <v>-44468</v>
      </c>
      <c r="Q31" s="19">
        <v>-64608</v>
      </c>
      <c r="R31" s="19">
        <v>-64591</v>
      </c>
      <c r="S31" s="19">
        <v>-1986</v>
      </c>
      <c r="T31" s="19">
        <v>7182</v>
      </c>
      <c r="U31" s="19">
        <v>-9851</v>
      </c>
      <c r="V31" s="19">
        <v>-2605</v>
      </c>
      <c r="W31" s="19">
        <v>1117</v>
      </c>
      <c r="X31" s="19">
        <v>-58979</v>
      </c>
      <c r="Y31" s="19">
        <v>-69946</v>
      </c>
      <c r="Z31" s="19">
        <v>-65192</v>
      </c>
      <c r="AA31" s="19">
        <v>-63503</v>
      </c>
      <c r="AB31" s="19">
        <v>-126502</v>
      </c>
      <c r="AC31" s="19">
        <v>-14853</v>
      </c>
      <c r="AD31" s="19">
        <v>-11924</v>
      </c>
      <c r="AE31" s="19">
        <v>-4634</v>
      </c>
    </row>
    <row r="32" spans="1:31" x14ac:dyDescent="0.25">
      <c r="A32" s="52" t="s">
        <v>27</v>
      </c>
      <c r="B32" s="170">
        <v>-68</v>
      </c>
      <c r="C32" s="27">
        <v>-188</v>
      </c>
      <c r="D32" s="27">
        <v>-3456</v>
      </c>
      <c r="E32" s="27">
        <v>-4052</v>
      </c>
      <c r="F32" s="27">
        <v>-3520</v>
      </c>
      <c r="G32" s="27">
        <v>-3177</v>
      </c>
      <c r="H32" s="27">
        <v>4661</v>
      </c>
      <c r="I32" s="27">
        <v>5100</v>
      </c>
      <c r="J32" s="27">
        <v>4903</v>
      </c>
      <c r="K32" s="27">
        <v>-65</v>
      </c>
      <c r="L32" s="27">
        <v>329</v>
      </c>
      <c r="M32" s="27">
        <v>-692</v>
      </c>
      <c r="N32" s="27">
        <v>-583</v>
      </c>
      <c r="O32" s="27">
        <v>-754</v>
      </c>
      <c r="P32" s="27">
        <v>3586</v>
      </c>
      <c r="Q32" s="27">
        <v>-980</v>
      </c>
      <c r="R32" s="27">
        <v>-1574</v>
      </c>
      <c r="S32" s="27">
        <v>-2534</v>
      </c>
      <c r="T32" s="27">
        <v>-2422</v>
      </c>
      <c r="U32" s="27">
        <v>-6209</v>
      </c>
      <c r="V32" s="27">
        <v>-6130</v>
      </c>
      <c r="W32" s="27">
        <v>-5040</v>
      </c>
      <c r="X32" s="27">
        <v>-6685</v>
      </c>
      <c r="Y32" s="27">
        <v>-388</v>
      </c>
      <c r="Z32" s="27">
        <v>-303</v>
      </c>
      <c r="AA32" s="27">
        <v>-293</v>
      </c>
      <c r="AB32" s="27">
        <v>711</v>
      </c>
      <c r="AC32" s="27">
        <v>400</v>
      </c>
      <c r="AD32" s="27">
        <v>-1461</v>
      </c>
      <c r="AE32" s="27">
        <v>25</v>
      </c>
    </row>
    <row r="33" spans="1:31" x14ac:dyDescent="0.25">
      <c r="A33" s="55" t="s">
        <v>42</v>
      </c>
      <c r="B33" s="167">
        <v>-14628</v>
      </c>
      <c r="C33" s="19">
        <v>-14433</v>
      </c>
      <c r="D33" s="19">
        <v>2468</v>
      </c>
      <c r="E33" s="19">
        <v>-12526</v>
      </c>
      <c r="F33" s="19">
        <v>-21944</v>
      </c>
      <c r="G33" s="19">
        <v>-33346</v>
      </c>
      <c r="H33" s="19">
        <v>-10794</v>
      </c>
      <c r="I33" s="19">
        <v>-31506</v>
      </c>
      <c r="J33" s="19">
        <v>-46001</v>
      </c>
      <c r="K33" s="19">
        <v>-24851</v>
      </c>
      <c r="L33" s="19">
        <v>28195</v>
      </c>
      <c r="M33" s="19">
        <v>-23435</v>
      </c>
      <c r="N33" s="19">
        <v>-34632</v>
      </c>
      <c r="O33" s="19">
        <v>-42858</v>
      </c>
      <c r="P33" s="19">
        <v>48197</v>
      </c>
      <c r="Q33" s="19">
        <v>16844</v>
      </c>
      <c r="R33" s="19">
        <v>3788</v>
      </c>
      <c r="S33" s="19">
        <v>5432</v>
      </c>
      <c r="T33" s="19">
        <v>11205</v>
      </c>
      <c r="U33" s="19">
        <v>-4956</v>
      </c>
      <c r="V33" s="19">
        <v>-17814</v>
      </c>
      <c r="W33" s="19">
        <v>-17162</v>
      </c>
      <c r="X33" s="19">
        <v>-11621</v>
      </c>
      <c r="Y33" s="19">
        <v>13924</v>
      </c>
      <c r="Z33" s="19">
        <v>-4317</v>
      </c>
      <c r="AA33" s="19">
        <v>-12657</v>
      </c>
      <c r="AB33" s="19">
        <v>-9741</v>
      </c>
      <c r="AC33" s="19">
        <v>-515</v>
      </c>
      <c r="AD33" s="19">
        <v>-26636</v>
      </c>
      <c r="AE33" s="19">
        <v>-8705</v>
      </c>
    </row>
    <row r="34" spans="1:31" x14ac:dyDescent="0.25">
      <c r="A34" s="52" t="s">
        <v>47</v>
      </c>
      <c r="B34" s="170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-3480</v>
      </c>
      <c r="I34" s="27">
        <v>-3480</v>
      </c>
      <c r="J34" s="27">
        <v>-3480</v>
      </c>
      <c r="K34" s="27">
        <v>-3480</v>
      </c>
      <c r="L34" s="27">
        <v>2744</v>
      </c>
      <c r="M34" s="27">
        <v>2192</v>
      </c>
      <c r="N34" s="27">
        <v>0</v>
      </c>
      <c r="O34" s="27">
        <v>-75</v>
      </c>
      <c r="P34" s="27">
        <v>2012</v>
      </c>
      <c r="Q34" s="27">
        <v>2758</v>
      </c>
      <c r="R34" s="27">
        <v>3070</v>
      </c>
      <c r="S34" s="27">
        <v>538</v>
      </c>
      <c r="T34" s="27">
        <v>-256</v>
      </c>
      <c r="U34" s="27">
        <v>-237</v>
      </c>
      <c r="V34" s="27">
        <v>157</v>
      </c>
      <c r="W34" s="27">
        <v>812</v>
      </c>
      <c r="X34" s="27">
        <v>-3787</v>
      </c>
      <c r="Y34" s="27">
        <v>-3011</v>
      </c>
      <c r="Z34" s="27">
        <v>-2336</v>
      </c>
      <c r="AA34" s="27">
        <v>-2310</v>
      </c>
      <c r="AB34" s="27">
        <v>-28955</v>
      </c>
      <c r="AC34" s="27">
        <v>-22656</v>
      </c>
      <c r="AD34" s="27">
        <v>-9443</v>
      </c>
      <c r="AE34" s="27">
        <v>-869</v>
      </c>
    </row>
    <row r="35" spans="1:31" x14ac:dyDescent="0.25">
      <c r="A35" s="55" t="s">
        <v>43</v>
      </c>
      <c r="B35" s="167">
        <v>58257</v>
      </c>
      <c r="C35" s="19">
        <v>21995</v>
      </c>
      <c r="D35" s="19">
        <v>2407</v>
      </c>
      <c r="E35" s="19">
        <v>91964</v>
      </c>
      <c r="F35" s="19">
        <v>48006</v>
      </c>
      <c r="G35" s="19">
        <v>4961</v>
      </c>
      <c r="H35" s="19">
        <v>6344</v>
      </c>
      <c r="I35" s="19">
        <v>58399</v>
      </c>
      <c r="J35" s="19">
        <v>45763</v>
      </c>
      <c r="K35" s="19">
        <v>10382</v>
      </c>
      <c r="L35" s="19">
        <v>1157</v>
      </c>
      <c r="M35" s="19">
        <v>54555</v>
      </c>
      <c r="N35" s="19">
        <v>19964</v>
      </c>
      <c r="O35" s="19">
        <v>-5133</v>
      </c>
      <c r="P35" s="19">
        <v>22148</v>
      </c>
      <c r="Q35" s="19">
        <v>48586</v>
      </c>
      <c r="R35" s="19">
        <v>37620</v>
      </c>
      <c r="S35" s="19">
        <v>9963</v>
      </c>
      <c r="T35" s="19">
        <v>8187</v>
      </c>
      <c r="U35" s="19">
        <v>49692</v>
      </c>
      <c r="V35" s="19">
        <v>38394</v>
      </c>
      <c r="W35" s="19">
        <v>9020</v>
      </c>
      <c r="X35" s="19">
        <v>-41053</v>
      </c>
      <c r="Y35" s="19">
        <v>49863</v>
      </c>
      <c r="Z35" s="19">
        <v>52892</v>
      </c>
      <c r="AA35" s="19">
        <v>-11861</v>
      </c>
      <c r="AB35" s="19">
        <v>50322</v>
      </c>
      <c r="AC35" s="19">
        <v>64474</v>
      </c>
      <c r="AD35" s="19">
        <v>47256</v>
      </c>
      <c r="AE35" s="19">
        <v>45062</v>
      </c>
    </row>
    <row r="36" spans="1:31" x14ac:dyDescent="0.25">
      <c r="A36" s="52" t="s">
        <v>45</v>
      </c>
      <c r="B36" s="170">
        <v>-21853</v>
      </c>
      <c r="C36" s="27">
        <v>-25431</v>
      </c>
      <c r="D36" s="27">
        <v>2599</v>
      </c>
      <c r="E36" s="27">
        <v>-22799</v>
      </c>
      <c r="F36" s="27">
        <v>-10190</v>
      </c>
      <c r="G36" s="27">
        <v>-9286</v>
      </c>
      <c r="H36" s="27">
        <v>4216</v>
      </c>
      <c r="I36" s="27">
        <v>-11425</v>
      </c>
      <c r="J36" s="27">
        <v>-7425</v>
      </c>
      <c r="K36" s="27">
        <v>9501</v>
      </c>
      <c r="L36" s="27">
        <v>5902</v>
      </c>
      <c r="M36" s="27">
        <v>10132</v>
      </c>
      <c r="N36" s="27">
        <v>2125</v>
      </c>
      <c r="O36" s="27">
        <v>1484</v>
      </c>
      <c r="P36" s="27">
        <v>14869</v>
      </c>
      <c r="Q36" s="27">
        <v>22448</v>
      </c>
      <c r="R36" s="27">
        <v>2446</v>
      </c>
      <c r="S36" s="27">
        <v>-508</v>
      </c>
      <c r="T36" s="27">
        <v>33034</v>
      </c>
      <c r="U36" s="27">
        <v>44254</v>
      </c>
      <c r="V36" s="27">
        <v>9333</v>
      </c>
      <c r="W36" s="27">
        <v>-2099</v>
      </c>
      <c r="X36" s="27">
        <v>13408</v>
      </c>
      <c r="Y36" s="27">
        <v>47752</v>
      </c>
      <c r="Z36" s="27">
        <v>61222</v>
      </c>
      <c r="AA36" s="27">
        <v>10514</v>
      </c>
      <c r="AB36" s="27">
        <v>-7723</v>
      </c>
      <c r="AC36" s="27">
        <v>-2523</v>
      </c>
      <c r="AD36" s="27">
        <v>-935</v>
      </c>
      <c r="AE36" s="27">
        <v>2200</v>
      </c>
    </row>
    <row r="37" spans="1:31" x14ac:dyDescent="0.25">
      <c r="A37" s="55" t="s">
        <v>46</v>
      </c>
      <c r="B37" s="167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-15363</v>
      </c>
      <c r="I37" s="19">
        <v>-2685</v>
      </c>
      <c r="J37" s="19">
        <v>-1762</v>
      </c>
      <c r="K37" s="19">
        <v>-867</v>
      </c>
      <c r="L37" s="19">
        <v>-665</v>
      </c>
      <c r="M37" s="19">
        <v>171</v>
      </c>
      <c r="N37" s="19">
        <v>979</v>
      </c>
      <c r="O37" s="19">
        <v>-493</v>
      </c>
      <c r="P37" s="19">
        <v>1341</v>
      </c>
      <c r="Q37" s="19">
        <v>1827</v>
      </c>
      <c r="R37" s="19">
        <v>2306</v>
      </c>
      <c r="S37" s="19">
        <v>2779</v>
      </c>
      <c r="T37" s="19">
        <v>-5246</v>
      </c>
      <c r="U37" s="19">
        <v>-4937</v>
      </c>
      <c r="V37" s="19">
        <v>-4047</v>
      </c>
      <c r="W37" s="19">
        <v>-3334</v>
      </c>
      <c r="X37" s="19">
        <v>207</v>
      </c>
      <c r="Y37" s="19">
        <v>9101</v>
      </c>
      <c r="Z37" s="19">
        <v>4028</v>
      </c>
      <c r="AA37" s="19">
        <v>41</v>
      </c>
      <c r="AB37" s="19">
        <v>-7602</v>
      </c>
      <c r="AC37" s="19">
        <v>-11958</v>
      </c>
      <c r="AD37" s="19">
        <v>-10687</v>
      </c>
      <c r="AE37" s="19">
        <v>-4390</v>
      </c>
    </row>
    <row r="38" spans="1:31" x14ac:dyDescent="0.25">
      <c r="A38" s="52" t="s">
        <v>48</v>
      </c>
      <c r="B38" s="170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-4349</v>
      </c>
      <c r="M38" s="27">
        <v>-4349</v>
      </c>
      <c r="N38" s="27">
        <v>-4349</v>
      </c>
      <c r="O38" s="27">
        <v>-4349</v>
      </c>
      <c r="P38" s="27">
        <v>4350</v>
      </c>
      <c r="Q38" s="27">
        <v>2261</v>
      </c>
      <c r="R38" s="27">
        <v>0</v>
      </c>
      <c r="S38" s="27" t="s">
        <v>17</v>
      </c>
      <c r="T38" s="27">
        <v>-5074</v>
      </c>
      <c r="U38" s="27">
        <v>-5073</v>
      </c>
      <c r="V38" s="27">
        <v>0</v>
      </c>
      <c r="W38" s="27">
        <v>0</v>
      </c>
      <c r="X38" s="27">
        <v>-85016</v>
      </c>
      <c r="Y38" s="27">
        <v>-85016</v>
      </c>
      <c r="Z38" s="27">
        <v>-59851</v>
      </c>
      <c r="AA38" s="27">
        <v>-3088</v>
      </c>
      <c r="AB38" s="27">
        <v>79943</v>
      </c>
      <c r="AC38" s="27">
        <v>0</v>
      </c>
      <c r="AD38" s="27">
        <v>0</v>
      </c>
      <c r="AE38" s="27">
        <v>0</v>
      </c>
    </row>
    <row r="39" spans="1:31" x14ac:dyDescent="0.25">
      <c r="A39" s="55" t="s">
        <v>29</v>
      </c>
      <c r="B39" s="167">
        <v>-8496</v>
      </c>
      <c r="C39" s="19">
        <v>-4338</v>
      </c>
      <c r="D39" s="19">
        <v>-44466</v>
      </c>
      <c r="E39" s="19">
        <v>-39492</v>
      </c>
      <c r="F39" s="19">
        <v>-34892</v>
      </c>
      <c r="G39" s="19">
        <v>-5005</v>
      </c>
      <c r="H39" s="19">
        <v>42527</v>
      </c>
      <c r="I39" s="19">
        <v>63399</v>
      </c>
      <c r="J39" s="19">
        <v>-8805</v>
      </c>
      <c r="K39" s="19">
        <v>-4119</v>
      </c>
      <c r="L39" s="19">
        <v>103</v>
      </c>
      <c r="M39" s="19">
        <v>3410</v>
      </c>
      <c r="N39" s="19">
        <v>7663</v>
      </c>
      <c r="O39" s="19">
        <v>-4529</v>
      </c>
      <c r="P39" s="19">
        <v>-6657</v>
      </c>
      <c r="Q39" s="19">
        <v>-2595</v>
      </c>
      <c r="R39" s="19">
        <v>887</v>
      </c>
      <c r="S39" s="19">
        <v>-11034</v>
      </c>
      <c r="T39" s="19">
        <v>4505</v>
      </c>
      <c r="U39" s="19">
        <v>1913</v>
      </c>
      <c r="V39" s="19">
        <v>4757</v>
      </c>
      <c r="W39" s="19">
        <v>-4601</v>
      </c>
      <c r="X39" s="19">
        <v>-546</v>
      </c>
      <c r="Y39" s="19">
        <v>2970</v>
      </c>
      <c r="Z39" s="19">
        <v>5179</v>
      </c>
      <c r="AA39" s="19">
        <v>-3057</v>
      </c>
      <c r="AB39" s="19">
        <v>34</v>
      </c>
      <c r="AC39" s="19">
        <v>3393</v>
      </c>
      <c r="AD39" s="19">
        <v>5820</v>
      </c>
      <c r="AE39" s="19">
        <v>-3156</v>
      </c>
    </row>
    <row r="40" spans="1:31" x14ac:dyDescent="0.25">
      <c r="A40" s="52" t="s">
        <v>51</v>
      </c>
      <c r="B40" s="170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-2489</v>
      </c>
      <c r="I40" s="27">
        <v>-1867</v>
      </c>
      <c r="J40" s="27">
        <v>-1245</v>
      </c>
      <c r="K40" s="27">
        <v>-623</v>
      </c>
      <c r="L40" s="27">
        <v>-2488</v>
      </c>
      <c r="M40" s="27">
        <v>-1866</v>
      </c>
      <c r="N40" s="27">
        <v>-1244</v>
      </c>
      <c r="O40" s="27">
        <v>-622</v>
      </c>
      <c r="P40" s="27">
        <v>10161</v>
      </c>
      <c r="Q40" s="27">
        <v>10784</v>
      </c>
      <c r="R40" s="27">
        <v>11406</v>
      </c>
      <c r="S40" s="27">
        <v>-499</v>
      </c>
      <c r="T40" s="27">
        <v>-1994</v>
      </c>
      <c r="U40" s="27">
        <v>-1496</v>
      </c>
      <c r="V40" s="27">
        <v>-997</v>
      </c>
      <c r="W40" s="27">
        <v>-499</v>
      </c>
      <c r="X40" s="27">
        <v>-1994</v>
      </c>
      <c r="Y40" s="27">
        <v>-1496</v>
      </c>
      <c r="Z40" s="27">
        <v>-997</v>
      </c>
      <c r="AA40" s="27">
        <v>-499</v>
      </c>
      <c r="AB40" s="27">
        <v>-1994</v>
      </c>
      <c r="AC40" s="27">
        <v>-1496</v>
      </c>
      <c r="AD40" s="27">
        <v>-997</v>
      </c>
      <c r="AE40" s="27">
        <v>-498</v>
      </c>
    </row>
    <row r="41" spans="1:31" x14ac:dyDescent="0.25">
      <c r="A41" s="55" t="s">
        <v>131</v>
      </c>
      <c r="B41" s="167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 t="s">
        <v>17</v>
      </c>
      <c r="I41" s="19" t="s">
        <v>17</v>
      </c>
      <c r="J41" s="19" t="s">
        <v>17</v>
      </c>
      <c r="K41" s="19" t="s">
        <v>17</v>
      </c>
      <c r="L41" s="19" t="s">
        <v>17</v>
      </c>
      <c r="M41" s="19" t="s">
        <v>17</v>
      </c>
      <c r="N41" s="19" t="s">
        <v>17</v>
      </c>
      <c r="O41" s="19">
        <v>0</v>
      </c>
      <c r="P41" s="19" t="s">
        <v>17</v>
      </c>
      <c r="Q41" s="19" t="s">
        <v>17</v>
      </c>
      <c r="R41" s="19" t="s">
        <v>17</v>
      </c>
      <c r="S41" s="19" t="s">
        <v>17</v>
      </c>
      <c r="T41" s="19" t="s">
        <v>17</v>
      </c>
      <c r="U41" s="19" t="s">
        <v>17</v>
      </c>
      <c r="V41" s="19" t="s">
        <v>17</v>
      </c>
      <c r="W41" s="19">
        <v>0</v>
      </c>
      <c r="X41" s="19" t="s">
        <v>17</v>
      </c>
      <c r="Y41" s="19"/>
      <c r="Z41" s="19"/>
      <c r="AA41" s="19"/>
      <c r="AB41" s="19"/>
      <c r="AC41" s="19"/>
      <c r="AD41" s="19"/>
      <c r="AE41" s="19"/>
    </row>
    <row r="42" spans="1:31" ht="13.5" customHeight="1" x14ac:dyDescent="0.25">
      <c r="A42" s="25" t="s">
        <v>132</v>
      </c>
      <c r="B42" s="175">
        <f t="shared" ref="B42" si="29">SUM(B43:B44)</f>
        <v>24074</v>
      </c>
      <c r="C42" s="148">
        <f t="shared" ref="C42:G42" si="30">SUM(C43:C44)</f>
        <v>7748</v>
      </c>
      <c r="D42" s="148">
        <f t="shared" si="30"/>
        <v>18445</v>
      </c>
      <c r="E42" s="148">
        <f t="shared" si="30"/>
        <v>21595</v>
      </c>
      <c r="F42" s="21">
        <f t="shared" si="30"/>
        <v>14496</v>
      </c>
      <c r="G42" s="21">
        <f t="shared" si="30"/>
        <v>-5581</v>
      </c>
      <c r="H42" s="21">
        <f t="shared" ref="H42:I42" si="31">SUM(H43:H44)</f>
        <v>6102</v>
      </c>
      <c r="I42" s="21">
        <f t="shared" si="31"/>
        <v>8733</v>
      </c>
      <c r="J42" s="21">
        <f t="shared" ref="J42:K42" si="32">SUM(J43:J44)</f>
        <v>7517</v>
      </c>
      <c r="K42" s="21">
        <f t="shared" si="32"/>
        <v>7772</v>
      </c>
      <c r="L42" s="21">
        <f t="shared" ref="L42:M42" si="33">SUM(L43:L44)</f>
        <v>9737</v>
      </c>
      <c r="M42" s="21">
        <f t="shared" si="33"/>
        <v>1056</v>
      </c>
      <c r="N42" s="21">
        <f t="shared" ref="N42" si="34">SUM(N43:N44)</f>
        <v>6722</v>
      </c>
      <c r="O42" s="21">
        <f t="shared" ref="O42" si="35">SUM(O43:O44)</f>
        <v>-400</v>
      </c>
      <c r="P42" s="21">
        <v>-4680</v>
      </c>
      <c r="Q42" s="21">
        <f t="shared" ref="Q42:W42" si="36">SUM(Q43:Q44)</f>
        <v>5596</v>
      </c>
      <c r="R42" s="21">
        <f t="shared" si="36"/>
        <v>36167</v>
      </c>
      <c r="S42" s="21">
        <f t="shared" si="36"/>
        <v>205</v>
      </c>
      <c r="T42" s="21">
        <f t="shared" ref="T42" si="37">SUM(T43:T44)</f>
        <v>-6186</v>
      </c>
      <c r="U42" s="21">
        <f t="shared" si="36"/>
        <v>-3407</v>
      </c>
      <c r="V42" s="21">
        <f t="shared" si="36"/>
        <v>8847</v>
      </c>
      <c r="W42" s="21">
        <f t="shared" si="36"/>
        <v>9930</v>
      </c>
      <c r="X42" s="21">
        <f t="shared" ref="X42:AA42" si="38">SUM(X43:X44)</f>
        <v>3542</v>
      </c>
      <c r="Y42" s="21">
        <f t="shared" si="38"/>
        <v>4325</v>
      </c>
      <c r="Z42" s="21">
        <f t="shared" si="38"/>
        <v>273</v>
      </c>
      <c r="AA42" s="21">
        <f t="shared" si="38"/>
        <v>4746</v>
      </c>
      <c r="AB42" s="21">
        <f t="shared" ref="AB42:AE42" si="39">SUM(AB43:AB44)</f>
        <v>-20169</v>
      </c>
      <c r="AC42" s="21">
        <f t="shared" si="39"/>
        <v>-18564</v>
      </c>
      <c r="AD42" s="21">
        <f t="shared" si="39"/>
        <v>-8695</v>
      </c>
      <c r="AE42" s="21">
        <f t="shared" si="39"/>
        <v>-21813</v>
      </c>
    </row>
    <row r="43" spans="1:31" x14ac:dyDescent="0.25">
      <c r="A43" s="52" t="s">
        <v>24</v>
      </c>
      <c r="B43" s="170">
        <v>18903</v>
      </c>
      <c r="C43" s="27">
        <v>15289</v>
      </c>
      <c r="D43" s="27">
        <v>-12264</v>
      </c>
      <c r="E43" s="27">
        <v>4833</v>
      </c>
      <c r="F43" s="27">
        <v>14599</v>
      </c>
      <c r="G43" s="27">
        <v>-7612</v>
      </c>
      <c r="H43" s="27">
        <v>1920</v>
      </c>
      <c r="I43" s="27">
        <v>-37</v>
      </c>
      <c r="J43" s="27">
        <v>4655</v>
      </c>
      <c r="K43" s="27">
        <v>6641</v>
      </c>
      <c r="L43" s="27">
        <v>10204</v>
      </c>
      <c r="M43" s="27">
        <v>1556</v>
      </c>
      <c r="N43" s="27">
        <v>2876</v>
      </c>
      <c r="O43" s="27">
        <v>-16</v>
      </c>
      <c r="P43" s="27">
        <v>-5077</v>
      </c>
      <c r="Q43" s="27">
        <v>-2128</v>
      </c>
      <c r="R43" s="27">
        <v>-3534</v>
      </c>
      <c r="S43" s="27">
        <v>-112</v>
      </c>
      <c r="T43" s="27">
        <v>-3850</v>
      </c>
      <c r="U43" s="27">
        <v>-1598</v>
      </c>
      <c r="V43" s="27">
        <v>-1245</v>
      </c>
      <c r="W43" s="27">
        <v>12</v>
      </c>
      <c r="X43" s="27">
        <v>-23</v>
      </c>
      <c r="Y43" s="27">
        <v>3998</v>
      </c>
      <c r="Z43" s="27">
        <v>-294</v>
      </c>
      <c r="AA43" s="27">
        <v>-43</v>
      </c>
      <c r="AB43" s="27">
        <v>-237</v>
      </c>
      <c r="AC43" s="27">
        <v>-355</v>
      </c>
      <c r="AD43" s="27">
        <v>-9938</v>
      </c>
      <c r="AE43" s="27">
        <v>38</v>
      </c>
    </row>
    <row r="44" spans="1:31" x14ac:dyDescent="0.25">
      <c r="A44" s="55" t="s">
        <v>133</v>
      </c>
      <c r="B44" s="167">
        <v>5171</v>
      </c>
      <c r="C44" s="19">
        <v>-7541</v>
      </c>
      <c r="D44" s="19">
        <v>30709</v>
      </c>
      <c r="E44" s="19">
        <v>16762</v>
      </c>
      <c r="F44" s="19">
        <v>-103</v>
      </c>
      <c r="G44" s="19">
        <v>2031</v>
      </c>
      <c r="H44" s="19">
        <v>4182</v>
      </c>
      <c r="I44" s="19">
        <v>8770</v>
      </c>
      <c r="J44" s="19">
        <v>2862</v>
      </c>
      <c r="K44" s="19">
        <v>1131</v>
      </c>
      <c r="L44" s="19">
        <v>-467</v>
      </c>
      <c r="M44" s="19">
        <v>-500</v>
      </c>
      <c r="N44" s="19">
        <v>3846</v>
      </c>
      <c r="O44" s="19">
        <v>-384</v>
      </c>
      <c r="P44" s="19">
        <v>397</v>
      </c>
      <c r="Q44" s="19">
        <v>7724</v>
      </c>
      <c r="R44" s="19">
        <v>39701</v>
      </c>
      <c r="S44" s="19">
        <v>317</v>
      </c>
      <c r="T44" s="19">
        <v>-2336</v>
      </c>
      <c r="U44" s="19">
        <v>-1809</v>
      </c>
      <c r="V44" s="19">
        <v>10092</v>
      </c>
      <c r="W44" s="19">
        <v>9918</v>
      </c>
      <c r="X44" s="19">
        <v>3565</v>
      </c>
      <c r="Y44" s="19">
        <v>327</v>
      </c>
      <c r="Z44" s="19">
        <v>567</v>
      </c>
      <c r="AA44" s="19">
        <v>4789</v>
      </c>
      <c r="AB44" s="19">
        <v>-19932</v>
      </c>
      <c r="AC44" s="19">
        <v>-18209</v>
      </c>
      <c r="AD44" s="19">
        <v>1243</v>
      </c>
      <c r="AE44" s="19">
        <v>-21851</v>
      </c>
    </row>
    <row r="45" spans="1:31" ht="13.5" customHeight="1" x14ac:dyDescent="0.25">
      <c r="A45" s="25" t="s">
        <v>134</v>
      </c>
      <c r="B45" s="175">
        <f t="shared" ref="B45" si="40">SUM(B46:B56)</f>
        <v>-625042</v>
      </c>
      <c r="C45" s="148">
        <f t="shared" ref="C45:S45" si="41">SUM(C46:C56)</f>
        <v>-581495</v>
      </c>
      <c r="D45" s="148">
        <f t="shared" si="41"/>
        <v>-514819</v>
      </c>
      <c r="E45" s="148">
        <f t="shared" si="41"/>
        <v>-645240</v>
      </c>
      <c r="F45" s="21">
        <f t="shared" si="41"/>
        <v>-665169</v>
      </c>
      <c r="G45" s="21">
        <f t="shared" si="41"/>
        <v>2115</v>
      </c>
      <c r="H45" s="21">
        <f t="shared" si="41"/>
        <v>-388166</v>
      </c>
      <c r="I45" s="21">
        <f t="shared" si="41"/>
        <v>-349798</v>
      </c>
      <c r="J45" s="21">
        <f t="shared" si="41"/>
        <v>-85651</v>
      </c>
      <c r="K45" s="21">
        <f t="shared" si="41"/>
        <v>-112535</v>
      </c>
      <c r="L45" s="21">
        <f t="shared" si="41"/>
        <v>-669413</v>
      </c>
      <c r="M45" s="21">
        <f t="shared" si="41"/>
        <v>-470776</v>
      </c>
      <c r="N45" s="21">
        <f t="shared" si="41"/>
        <v>-97589</v>
      </c>
      <c r="O45" s="21">
        <f t="shared" si="41"/>
        <v>-73679</v>
      </c>
      <c r="P45" s="21">
        <f t="shared" si="41"/>
        <v>-550174</v>
      </c>
      <c r="Q45" s="21">
        <f t="shared" si="41"/>
        <v>-430134</v>
      </c>
      <c r="R45" s="21">
        <f t="shared" si="41"/>
        <v>-116966</v>
      </c>
      <c r="S45" s="21">
        <f t="shared" si="41"/>
        <v>37723</v>
      </c>
      <c r="T45" s="21">
        <v>-664524</v>
      </c>
      <c r="U45" s="21">
        <f>SUM(U46:U56)</f>
        <v>-427787</v>
      </c>
      <c r="V45" s="21">
        <f t="shared" ref="V45:W45" si="42">SUM(V46:V50)</f>
        <v>-86607</v>
      </c>
      <c r="W45" s="21">
        <f t="shared" si="42"/>
        <v>-40277</v>
      </c>
      <c r="X45" s="21">
        <f t="shared" ref="X45" si="43">SUM(X46:X50)</f>
        <v>-247843</v>
      </c>
      <c r="Y45" s="21">
        <f>SUM(Y46:Y56)</f>
        <v>-171803</v>
      </c>
      <c r="Z45" s="21">
        <f t="shared" ref="Z45:AA45" si="44">SUM(Z46:Z50)</f>
        <v>-109842</v>
      </c>
      <c r="AA45" s="21">
        <f t="shared" si="44"/>
        <v>-43327.561399999999</v>
      </c>
      <c r="AB45" s="21">
        <f t="shared" ref="AB45" si="45">SUM(AB46:AB50)</f>
        <v>-188098</v>
      </c>
      <c r="AC45" s="21">
        <f>SUM(AC46:AC56)</f>
        <v>-144033</v>
      </c>
      <c r="AD45" s="21">
        <f t="shared" ref="AD45:AE45" si="46">SUM(AD46:AD50)</f>
        <v>-92948</v>
      </c>
      <c r="AE45" s="21">
        <f t="shared" si="46"/>
        <v>-38355</v>
      </c>
    </row>
    <row r="46" spans="1:31" x14ac:dyDescent="0.25">
      <c r="A46" s="52" t="s">
        <v>135</v>
      </c>
      <c r="B46" s="170">
        <v>-14775</v>
      </c>
      <c r="C46" s="27">
        <v>-11198</v>
      </c>
      <c r="D46" s="27">
        <v>-88399</v>
      </c>
      <c r="E46" s="27">
        <v>-57321</v>
      </c>
      <c r="F46" s="27">
        <v>-25369</v>
      </c>
      <c r="G46" s="27">
        <v>-5405</v>
      </c>
      <c r="H46" s="27">
        <v>-27416</v>
      </c>
      <c r="I46" s="27">
        <v>-9194</v>
      </c>
      <c r="J46" s="27">
        <v>-3792</v>
      </c>
      <c r="K46" s="27">
        <v>-3388</v>
      </c>
      <c r="L46" s="27">
        <v>-31624</v>
      </c>
      <c r="M46" s="27">
        <v>-26664</v>
      </c>
      <c r="N46" s="27">
        <v>-14387</v>
      </c>
      <c r="O46" s="27">
        <v>-7445</v>
      </c>
      <c r="P46" s="27">
        <v>-49205</v>
      </c>
      <c r="Q46" s="27">
        <v>-34352</v>
      </c>
      <c r="R46" s="27">
        <v>-20318</v>
      </c>
      <c r="S46" s="27">
        <v>-18239</v>
      </c>
      <c r="T46" s="27">
        <v>-59249</v>
      </c>
      <c r="U46" s="27">
        <v>-9201</v>
      </c>
      <c r="V46" s="27">
        <v>-5089</v>
      </c>
      <c r="W46" s="27">
        <v>-1799</v>
      </c>
      <c r="X46" s="27">
        <v>-16645</v>
      </c>
      <c r="Y46" s="27">
        <v>-13405</v>
      </c>
      <c r="Z46" s="27">
        <v>-5657</v>
      </c>
      <c r="AA46" s="27">
        <v>-2832</v>
      </c>
      <c r="AB46" s="27">
        <v>-44389</v>
      </c>
      <c r="AC46" s="27">
        <v>-36156</v>
      </c>
      <c r="AD46" s="27">
        <v>-32389</v>
      </c>
      <c r="AE46" s="27">
        <v>-12217</v>
      </c>
    </row>
    <row r="47" spans="1:31" x14ac:dyDescent="0.25">
      <c r="A47" s="55" t="s">
        <v>33</v>
      </c>
      <c r="B47" s="167">
        <v>-151992</v>
      </c>
      <c r="C47" s="19">
        <v>-61112</v>
      </c>
      <c r="D47" s="19">
        <v>-275694</v>
      </c>
      <c r="E47" s="19">
        <v>-196364</v>
      </c>
      <c r="F47" s="19">
        <v>-106578</v>
      </c>
      <c r="G47" s="19">
        <v>-80876</v>
      </c>
      <c r="H47" s="19">
        <v>-285842</v>
      </c>
      <c r="I47" s="19">
        <v>-222260</v>
      </c>
      <c r="J47" s="19">
        <v>-150826</v>
      </c>
      <c r="K47" s="19">
        <v>-83587</v>
      </c>
      <c r="L47" s="19">
        <v>-252068</v>
      </c>
      <c r="M47" s="19">
        <v>-132679</v>
      </c>
      <c r="N47" s="19">
        <v>-95108</v>
      </c>
      <c r="O47" s="19">
        <v>-49412</v>
      </c>
      <c r="P47" s="19">
        <v>-187110</v>
      </c>
      <c r="Q47" s="19">
        <v>-127450</v>
      </c>
      <c r="R47" s="19">
        <v>-52050</v>
      </c>
      <c r="S47" s="19">
        <v>-11599</v>
      </c>
      <c r="T47" s="19">
        <v>-41430</v>
      </c>
      <c r="U47" s="19">
        <v>-31080</v>
      </c>
      <c r="V47" s="19">
        <v>-21895</v>
      </c>
      <c r="W47" s="19">
        <v>-12459</v>
      </c>
      <c r="X47" s="19">
        <v>-122031</v>
      </c>
      <c r="Y47" s="19">
        <v>-82402</v>
      </c>
      <c r="Z47" s="19">
        <v>-47460</v>
      </c>
      <c r="AA47" s="19">
        <v>-19123</v>
      </c>
      <c r="AB47" s="19">
        <v>-81870</v>
      </c>
      <c r="AC47" s="19">
        <v>-65007</v>
      </c>
      <c r="AD47" s="19">
        <v>-41942</v>
      </c>
      <c r="AE47" s="19">
        <v>-18278</v>
      </c>
    </row>
    <row r="48" spans="1:31" x14ac:dyDescent="0.25">
      <c r="A48" s="52" t="s">
        <v>136</v>
      </c>
      <c r="B48" s="170">
        <v>-149904</v>
      </c>
      <c r="C48" s="27">
        <v>-56013</v>
      </c>
      <c r="D48" s="27">
        <v>-347526</v>
      </c>
      <c r="E48" s="27">
        <v>-244468</v>
      </c>
      <c r="F48" s="27">
        <v>-150331</v>
      </c>
      <c r="G48" s="27">
        <v>-67204</v>
      </c>
      <c r="H48" s="27">
        <v>-322539</v>
      </c>
      <c r="I48" s="27">
        <v>-261307</v>
      </c>
      <c r="J48" s="27">
        <v>-179105</v>
      </c>
      <c r="K48" s="27">
        <v>-112649</v>
      </c>
      <c r="L48" s="27">
        <v>-193069</v>
      </c>
      <c r="M48" s="27">
        <v>-133703</v>
      </c>
      <c r="N48" s="27">
        <v>-68989</v>
      </c>
      <c r="O48" s="27">
        <v>-29201</v>
      </c>
      <c r="P48" s="27">
        <v>-126810</v>
      </c>
      <c r="Q48" s="27">
        <v>-84665</v>
      </c>
      <c r="R48" s="27">
        <v>-56090</v>
      </c>
      <c r="S48" s="27">
        <v>-16098</v>
      </c>
      <c r="T48" s="27">
        <v>-120536</v>
      </c>
      <c r="U48" s="27">
        <v>-85046</v>
      </c>
      <c r="V48" s="27">
        <v>-54257</v>
      </c>
      <c r="W48" s="27">
        <v>-23487</v>
      </c>
      <c r="X48" s="27">
        <v>-119226</v>
      </c>
      <c r="Y48" s="27">
        <v>-90007</v>
      </c>
      <c r="Z48" s="27">
        <v>-55851</v>
      </c>
      <c r="AA48" s="27">
        <v>-21372.561399999999</v>
      </c>
      <c r="AB48" s="27">
        <v>-61839</v>
      </c>
      <c r="AC48" s="27">
        <v>-42870</v>
      </c>
      <c r="AD48" s="27">
        <v>-18617</v>
      </c>
      <c r="AE48" s="27">
        <v>-7830</v>
      </c>
    </row>
    <row r="49" spans="1:34" x14ac:dyDescent="0.25">
      <c r="A49" s="55" t="s">
        <v>137</v>
      </c>
      <c r="B49" s="167">
        <v>3102</v>
      </c>
      <c r="C49" s="19">
        <v>3102</v>
      </c>
      <c r="D49" s="19">
        <v>0</v>
      </c>
      <c r="E49" s="19">
        <v>0</v>
      </c>
      <c r="F49" s="19">
        <v>0</v>
      </c>
      <c r="G49" s="19">
        <v>0</v>
      </c>
      <c r="H49" s="19">
        <v>1218</v>
      </c>
      <c r="I49" s="19">
        <v>1218</v>
      </c>
      <c r="J49" s="19">
        <v>-14000</v>
      </c>
      <c r="K49" s="19">
        <v>0</v>
      </c>
      <c r="L49" s="19">
        <v>7270</v>
      </c>
      <c r="M49" s="19">
        <v>7256</v>
      </c>
      <c r="N49" s="19">
        <v>7256</v>
      </c>
      <c r="O49" s="19">
        <v>7256</v>
      </c>
      <c r="P49" s="19">
        <v>2210</v>
      </c>
      <c r="Q49" s="19">
        <v>1557</v>
      </c>
      <c r="R49" s="19">
        <v>12453</v>
      </c>
      <c r="S49" s="19">
        <v>1497</v>
      </c>
      <c r="T49" s="19">
        <v>-1276</v>
      </c>
      <c r="U49" s="19">
        <v>-2411</v>
      </c>
      <c r="V49" s="19">
        <v>-2805</v>
      </c>
      <c r="W49" s="19">
        <v>-2405</v>
      </c>
      <c r="X49" s="19">
        <v>10059</v>
      </c>
      <c r="Y49" s="19">
        <v>-675</v>
      </c>
      <c r="Z49" s="19">
        <v>-874</v>
      </c>
      <c r="AA49" s="19"/>
      <c r="AB49" s="19">
        <v>0</v>
      </c>
      <c r="AC49" s="19"/>
      <c r="AD49" s="19"/>
      <c r="AE49" s="19">
        <v>-30</v>
      </c>
    </row>
    <row r="50" spans="1:34" x14ac:dyDescent="0.25">
      <c r="A50" s="52" t="s">
        <v>138</v>
      </c>
      <c r="B50" s="170">
        <v>-1</v>
      </c>
      <c r="C50" s="27">
        <v>0</v>
      </c>
      <c r="D50" s="27">
        <v>-34</v>
      </c>
      <c r="E50" s="27">
        <v>-60784</v>
      </c>
      <c r="F50" s="27">
        <v>-62385</v>
      </c>
      <c r="G50" s="27">
        <v>0</v>
      </c>
      <c r="H50" s="27">
        <v>-3</v>
      </c>
      <c r="I50" s="27">
        <v>-3</v>
      </c>
      <c r="J50" s="27">
        <v>-3</v>
      </c>
      <c r="K50" s="27">
        <v>0</v>
      </c>
      <c r="L50" s="27">
        <v>-1670</v>
      </c>
      <c r="M50" s="27">
        <v>-1670</v>
      </c>
      <c r="N50" s="27">
        <v>-1325</v>
      </c>
      <c r="O50" s="27">
        <v>-1670</v>
      </c>
      <c r="P50" s="27">
        <v>-11607</v>
      </c>
      <c r="Q50" s="27">
        <v>-8786</v>
      </c>
      <c r="R50" s="27">
        <v>-8056</v>
      </c>
      <c r="S50" s="27">
        <v>-7079</v>
      </c>
      <c r="T50" s="27">
        <v>-13667</v>
      </c>
      <c r="U50" s="27">
        <v>-11902</v>
      </c>
      <c r="V50" s="27">
        <v>-2561</v>
      </c>
      <c r="W50" s="27">
        <v>-127</v>
      </c>
      <c r="X50" s="27" t="s">
        <v>17</v>
      </c>
      <c r="Y50" s="27"/>
      <c r="Z50" s="27"/>
      <c r="AA50" s="27"/>
      <c r="AB50" s="27" t="s">
        <v>17</v>
      </c>
      <c r="AC50" s="27"/>
      <c r="AD50" s="27"/>
      <c r="AE50" s="27"/>
    </row>
    <row r="51" spans="1:34" s="55" customFormat="1" x14ac:dyDescent="0.25">
      <c r="A51" s="55" t="s">
        <v>139</v>
      </c>
      <c r="B51" s="167">
        <v>0</v>
      </c>
      <c r="C51" s="19">
        <v>0</v>
      </c>
      <c r="D51" s="19">
        <v>10905</v>
      </c>
      <c r="E51" s="19">
        <v>0</v>
      </c>
      <c r="F51" s="19">
        <v>13545</v>
      </c>
      <c r="G51" s="19">
        <v>0</v>
      </c>
      <c r="H51" s="19">
        <v>5941</v>
      </c>
      <c r="I51" s="19" t="s">
        <v>17</v>
      </c>
      <c r="J51" s="19" t="s">
        <v>17</v>
      </c>
      <c r="K51" s="19" t="s">
        <v>17</v>
      </c>
      <c r="L51" s="19" t="s">
        <v>17</v>
      </c>
      <c r="M51" s="19" t="s">
        <v>17</v>
      </c>
      <c r="N51" s="19" t="s">
        <v>17</v>
      </c>
      <c r="O51" s="19">
        <v>0</v>
      </c>
      <c r="P51" s="19">
        <v>-297</v>
      </c>
      <c r="Q51" s="19"/>
      <c r="R51" s="19"/>
      <c r="S51" s="19"/>
      <c r="T51" s="19">
        <v>-2700</v>
      </c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"/>
      <c r="AG51" s="1"/>
      <c r="AH51"/>
    </row>
    <row r="52" spans="1:34" x14ac:dyDescent="0.25">
      <c r="A52" s="52" t="s">
        <v>16</v>
      </c>
      <c r="B52" s="170">
        <v>-311472</v>
      </c>
      <c r="C52" s="27">
        <v>-436597</v>
      </c>
      <c r="D52" s="27">
        <v>186731</v>
      </c>
      <c r="E52" s="27">
        <v>-85417</v>
      </c>
      <c r="F52" s="27">
        <v>-333205</v>
      </c>
      <c r="G52" s="27">
        <v>156540</v>
      </c>
      <c r="H52" s="27">
        <v>247413</v>
      </c>
      <c r="I52" s="27">
        <v>148687</v>
      </c>
      <c r="J52" s="27">
        <v>269008</v>
      </c>
      <c r="K52" s="27">
        <v>94024</v>
      </c>
      <c r="L52" s="27">
        <v>-200035</v>
      </c>
      <c r="M52" s="27">
        <v>-183316</v>
      </c>
      <c r="N52" s="27">
        <v>74964</v>
      </c>
      <c r="O52" s="27">
        <v>6793</v>
      </c>
      <c r="P52" s="27">
        <v>-185326</v>
      </c>
      <c r="Q52" s="27">
        <v>-184414</v>
      </c>
      <c r="R52" s="27">
        <v>1558</v>
      </c>
      <c r="S52" s="27">
        <v>87330</v>
      </c>
      <c r="T52" s="27">
        <v>-430420</v>
      </c>
      <c r="U52" s="27">
        <v>-289953</v>
      </c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1:34" s="55" customFormat="1" x14ac:dyDescent="0.25">
      <c r="A53" s="55" t="s">
        <v>140</v>
      </c>
      <c r="B53" s="167">
        <v>0</v>
      </c>
      <c r="C53" s="19">
        <v>0</v>
      </c>
      <c r="D53" s="19">
        <v>0</v>
      </c>
      <c r="E53" s="19">
        <v>3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9</v>
      </c>
      <c r="Q53" s="19">
        <v>9</v>
      </c>
      <c r="R53" s="19">
        <v>9</v>
      </c>
      <c r="S53" s="19"/>
      <c r="T53" s="19">
        <v>0</v>
      </c>
      <c r="U53" s="19">
        <v>0</v>
      </c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"/>
      <c r="AG53" s="1"/>
      <c r="AH53"/>
    </row>
    <row r="54" spans="1:34" s="55" customFormat="1" x14ac:dyDescent="0.25">
      <c r="A54" s="52" t="s">
        <v>261</v>
      </c>
      <c r="B54" s="170">
        <v>0</v>
      </c>
      <c r="C54" s="27">
        <v>0</v>
      </c>
      <c r="D54" s="27">
        <v>-802</v>
      </c>
      <c r="E54" s="27">
        <v>-889</v>
      </c>
      <c r="F54" s="27">
        <v>-846</v>
      </c>
      <c r="G54" s="27">
        <v>-940</v>
      </c>
      <c r="H54" s="27">
        <v>-6938</v>
      </c>
      <c r="I54" s="27">
        <v>-6939</v>
      </c>
      <c r="J54" s="27">
        <v>-6933</v>
      </c>
      <c r="K54" s="27">
        <v>-6935</v>
      </c>
      <c r="L54" s="27">
        <v>1783</v>
      </c>
      <c r="M54" s="27">
        <v>0</v>
      </c>
      <c r="N54" s="27">
        <v>0</v>
      </c>
      <c r="O54" s="27">
        <v>0</v>
      </c>
      <c r="P54" s="27">
        <v>-1586</v>
      </c>
      <c r="Q54" s="27">
        <v>-1581</v>
      </c>
      <c r="R54" s="27">
        <v>-1586</v>
      </c>
      <c r="S54" s="27">
        <v>-1585</v>
      </c>
      <c r="T54" s="27">
        <v>54</v>
      </c>
      <c r="U54" s="27"/>
      <c r="V54" s="27"/>
      <c r="W54" s="27"/>
      <c r="X54" s="27"/>
      <c r="Y54" s="27">
        <v>14686</v>
      </c>
      <c r="Z54" s="27"/>
      <c r="AA54" s="27"/>
      <c r="AB54" s="27"/>
      <c r="AC54" s="27"/>
      <c r="AD54" s="27"/>
      <c r="AE54" s="27"/>
      <c r="AF54" s="1"/>
      <c r="AG54" s="1"/>
      <c r="AH54"/>
    </row>
    <row r="55" spans="1:34" x14ac:dyDescent="0.25">
      <c r="A55" s="55" t="s">
        <v>141</v>
      </c>
      <c r="B55" s="167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4774</v>
      </c>
      <c r="Q55" s="19">
        <v>4774</v>
      </c>
      <c r="R55" s="19">
        <v>3557</v>
      </c>
      <c r="S55" s="19">
        <v>1748</v>
      </c>
      <c r="T55" s="19">
        <v>4700</v>
      </c>
      <c r="U55" s="19">
        <v>903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4" s="55" customFormat="1" x14ac:dyDescent="0.25">
      <c r="A56" s="52" t="s">
        <v>276</v>
      </c>
      <c r="B56" s="170">
        <v>0</v>
      </c>
      <c r="C56" s="27">
        <v>-19677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4774</v>
      </c>
      <c r="Q56" s="27">
        <v>4774</v>
      </c>
      <c r="R56" s="27">
        <v>3557</v>
      </c>
      <c r="S56" s="27">
        <v>1748</v>
      </c>
      <c r="T56" s="27">
        <v>4700</v>
      </c>
      <c r="U56" s="27">
        <v>903</v>
      </c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1"/>
      <c r="AG56" s="1"/>
      <c r="AH56"/>
    </row>
    <row r="57" spans="1:34" ht="13.5" customHeight="1" x14ac:dyDescent="0.25">
      <c r="A57" s="25" t="s">
        <v>142</v>
      </c>
      <c r="B57" s="175">
        <f t="shared" ref="B57" si="47">SUM(B58:B68)</f>
        <v>-74824</v>
      </c>
      <c r="C57" s="148">
        <f t="shared" ref="C57:G57" si="48">SUM(C58:C68)</f>
        <v>214425</v>
      </c>
      <c r="D57" s="148">
        <f t="shared" si="48"/>
        <v>-205870</v>
      </c>
      <c r="E57" s="148">
        <f t="shared" si="48"/>
        <v>-73727</v>
      </c>
      <c r="F57" s="21">
        <f t="shared" si="48"/>
        <v>58601</v>
      </c>
      <c r="G57" s="21">
        <f t="shared" si="48"/>
        <v>-103461</v>
      </c>
      <c r="H57" s="21">
        <f t="shared" ref="H57:I57" si="49">SUM(H58:H68)</f>
        <v>-222795</v>
      </c>
      <c r="I57" s="21">
        <f t="shared" si="49"/>
        <v>-109913</v>
      </c>
      <c r="J57" s="21">
        <f t="shared" ref="J57:K57" si="50">SUM(J58:J68)</f>
        <v>-297700</v>
      </c>
      <c r="K57" s="21">
        <f t="shared" si="50"/>
        <v>-87744</v>
      </c>
      <c r="L57" s="21">
        <f t="shared" ref="L57:M57" si="51">SUM(L58:L68)</f>
        <v>-166991</v>
      </c>
      <c r="M57" s="21">
        <f t="shared" si="51"/>
        <v>-63146</v>
      </c>
      <c r="N57" s="21">
        <f t="shared" ref="N57" si="52">SUM(N58:N68)</f>
        <v>-269415</v>
      </c>
      <c r="O57" s="21">
        <f t="shared" ref="O57" si="53">SUM(O58:O68)</f>
        <v>-72687</v>
      </c>
      <c r="P57" s="21">
        <f t="shared" ref="P57" si="54">SUM(P58:P68)</f>
        <v>-171344</v>
      </c>
      <c r="Q57" s="21">
        <f t="shared" ref="Q57:U57" si="55">SUM(Q58:Q68)</f>
        <v>-83733</v>
      </c>
      <c r="R57" s="21">
        <f t="shared" si="55"/>
        <v>-218025</v>
      </c>
      <c r="S57" s="21">
        <f t="shared" si="55"/>
        <v>-81912</v>
      </c>
      <c r="T57" s="21">
        <f t="shared" ref="T57" si="56">SUM(T58:T68)</f>
        <v>-171240</v>
      </c>
      <c r="U57" s="21">
        <f t="shared" si="55"/>
        <v>-68859</v>
      </c>
      <c r="V57" s="21">
        <f t="shared" ref="V57:W57" si="57">SUM(V58:V67)</f>
        <v>-228707</v>
      </c>
      <c r="W57" s="21">
        <f t="shared" si="57"/>
        <v>-67592</v>
      </c>
      <c r="X57" s="21">
        <f t="shared" ref="X57" si="58">SUM(X58:X67)</f>
        <v>-138468</v>
      </c>
      <c r="Y57" s="21">
        <f t="shared" ref="Y57" si="59">SUM(Y58:Y68)</f>
        <v>-140622</v>
      </c>
      <c r="Z57" s="21">
        <f t="shared" ref="Z57:AA57" si="60">SUM(Z58:Z67)</f>
        <v>11487</v>
      </c>
      <c r="AA57" s="21">
        <f t="shared" si="60"/>
        <v>-55611</v>
      </c>
      <c r="AB57" s="21">
        <f t="shared" ref="AB57" si="61">SUM(AB58:AB67)</f>
        <v>-152539</v>
      </c>
      <c r="AC57" s="21">
        <f t="shared" ref="AC57" si="62">SUM(AC58:AC68)</f>
        <v>-59400</v>
      </c>
      <c r="AD57" s="21">
        <f t="shared" ref="AD57:AE57" si="63">SUM(AD58:AD67)</f>
        <v>-118105</v>
      </c>
      <c r="AE57" s="21">
        <f t="shared" si="63"/>
        <v>-52160</v>
      </c>
    </row>
    <row r="58" spans="1:34" x14ac:dyDescent="0.25">
      <c r="A58" s="52" t="s">
        <v>143</v>
      </c>
      <c r="B58" s="170">
        <v>0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 t="s">
        <v>17</v>
      </c>
      <c r="O58" s="27">
        <v>0</v>
      </c>
      <c r="P58" s="27" t="s">
        <v>17</v>
      </c>
      <c r="Q58" s="27" t="s">
        <v>17</v>
      </c>
      <c r="R58" s="27" t="s">
        <v>17</v>
      </c>
      <c r="S58" s="27" t="s">
        <v>17</v>
      </c>
      <c r="T58" s="27">
        <v>0</v>
      </c>
      <c r="U58" s="27" t="s">
        <v>17</v>
      </c>
      <c r="V58" s="27" t="s">
        <v>17</v>
      </c>
      <c r="W58" s="27">
        <v>0</v>
      </c>
      <c r="X58" s="27">
        <v>0</v>
      </c>
      <c r="Y58" s="27"/>
      <c r="Z58" s="27"/>
      <c r="AA58" s="27"/>
      <c r="AB58" s="27">
        <v>0</v>
      </c>
      <c r="AC58" s="27"/>
      <c r="AD58" s="27"/>
      <c r="AE58" s="27"/>
    </row>
    <row r="59" spans="1:34" x14ac:dyDescent="0.25">
      <c r="A59" s="55" t="s">
        <v>144</v>
      </c>
      <c r="B59" s="167">
        <v>309000</v>
      </c>
      <c r="C59" s="19">
        <v>309000</v>
      </c>
      <c r="D59" s="19">
        <v>445000</v>
      </c>
      <c r="E59" s="19">
        <v>445000</v>
      </c>
      <c r="F59" s="19">
        <v>445000</v>
      </c>
      <c r="G59" s="19" t="s">
        <v>268</v>
      </c>
      <c r="H59" s="19">
        <v>342953</v>
      </c>
      <c r="I59" s="19">
        <v>342953</v>
      </c>
      <c r="J59" s="19">
        <v>37404</v>
      </c>
      <c r="K59" s="19">
        <v>5489</v>
      </c>
      <c r="L59" s="19">
        <v>320254</v>
      </c>
      <c r="M59" s="19">
        <v>300201</v>
      </c>
      <c r="N59" s="19">
        <v>201</v>
      </c>
      <c r="O59" s="19">
        <v>201</v>
      </c>
      <c r="P59" s="19">
        <v>200000</v>
      </c>
      <c r="Q59" s="19">
        <v>200000</v>
      </c>
      <c r="R59" s="19">
        <v>0</v>
      </c>
      <c r="S59" s="19" t="s">
        <v>17</v>
      </c>
      <c r="T59" s="19">
        <v>250134</v>
      </c>
      <c r="U59" s="19">
        <v>250134</v>
      </c>
      <c r="V59" s="19">
        <v>134</v>
      </c>
      <c r="W59" s="19">
        <v>0</v>
      </c>
      <c r="X59" s="19">
        <v>370168</v>
      </c>
      <c r="Y59" s="19">
        <v>150168</v>
      </c>
      <c r="Z59" s="19">
        <v>150168</v>
      </c>
      <c r="AA59" s="19"/>
      <c r="AB59" s="19">
        <v>243920</v>
      </c>
      <c r="AC59" s="19">
        <v>242414</v>
      </c>
      <c r="AD59" s="19">
        <v>2414</v>
      </c>
      <c r="AE59" s="19">
        <v>2346</v>
      </c>
    </row>
    <row r="60" spans="1:34" x14ac:dyDescent="0.25">
      <c r="A60" s="52" t="s">
        <v>145</v>
      </c>
      <c r="B60" s="170">
        <v>-135780</v>
      </c>
      <c r="C60" s="27">
        <v>-64514</v>
      </c>
      <c r="D60" s="27">
        <v>-274091</v>
      </c>
      <c r="E60" s="27">
        <v>-189680</v>
      </c>
      <c r="F60" s="27">
        <v>-123490</v>
      </c>
      <c r="G60" s="27">
        <v>-57294</v>
      </c>
      <c r="H60" s="27">
        <v>-246947</v>
      </c>
      <c r="I60" s="27">
        <v>-181802</v>
      </c>
      <c r="J60" s="27">
        <v>-112580</v>
      </c>
      <c r="K60" s="27">
        <v>-52992</v>
      </c>
      <c r="L60" s="27">
        <v>-235907</v>
      </c>
      <c r="M60" s="27">
        <v>-163456</v>
      </c>
      <c r="N60" s="27">
        <v>-107352</v>
      </c>
      <c r="O60" s="27">
        <v>-51366</v>
      </c>
      <c r="P60" s="27">
        <v>-258205</v>
      </c>
      <c r="Q60" s="27">
        <v>-185862</v>
      </c>
      <c r="R60" s="27">
        <v>-124741</v>
      </c>
      <c r="S60" s="27">
        <v>-59334</v>
      </c>
      <c r="T60" s="27">
        <v>-273639</v>
      </c>
      <c r="U60" s="27">
        <v>-194633</v>
      </c>
      <c r="V60" s="27">
        <v>-129490</v>
      </c>
      <c r="W60" s="27">
        <v>-60802</v>
      </c>
      <c r="X60" s="27">
        <v>-382501</v>
      </c>
      <c r="Y60" s="27">
        <v>-163639</v>
      </c>
      <c r="Z60" s="27">
        <v>-103420</v>
      </c>
      <c r="AA60" s="27">
        <v>-43323</v>
      </c>
      <c r="AB60" s="27">
        <v>-272594</v>
      </c>
      <c r="AC60" s="27">
        <v>-225349</v>
      </c>
      <c r="AD60" s="27">
        <v>-77348</v>
      </c>
      <c r="AE60" s="27">
        <v>-33396</v>
      </c>
    </row>
    <row r="61" spans="1:34" x14ac:dyDescent="0.25">
      <c r="A61" s="55" t="s">
        <v>146</v>
      </c>
      <c r="B61" s="167">
        <v>-90831</v>
      </c>
      <c r="C61" s="19">
        <v>-47989</v>
      </c>
      <c r="D61" s="19">
        <v>-194160</v>
      </c>
      <c r="E61" s="19">
        <v>-142938</v>
      </c>
      <c r="F61" s="19">
        <v>-90039</v>
      </c>
      <c r="G61" s="19">
        <v>-34675</v>
      </c>
      <c r="H61" s="19">
        <v>-134266</v>
      </c>
      <c r="I61" s="19">
        <v>-98105</v>
      </c>
      <c r="J61" s="19">
        <v>-61096</v>
      </c>
      <c r="K61" s="19">
        <v>-30385</v>
      </c>
      <c r="L61" s="19">
        <v>-136183</v>
      </c>
      <c r="M61" s="19">
        <v>-95727</v>
      </c>
      <c r="N61" s="19">
        <v>-62587</v>
      </c>
      <c r="O61" s="19">
        <v>-31831</v>
      </c>
      <c r="P61" s="19">
        <v>-131719</v>
      </c>
      <c r="Q61" s="19">
        <v>-96622</v>
      </c>
      <c r="R61" s="19">
        <v>-57216</v>
      </c>
      <c r="S61" s="19">
        <v>-27398</v>
      </c>
      <c r="T61" s="19">
        <v>-81517</v>
      </c>
      <c r="U61" s="19">
        <v>-56036</v>
      </c>
      <c r="V61" s="19">
        <v>-33070</v>
      </c>
      <c r="W61" s="19">
        <v>-14979</v>
      </c>
      <c r="X61" s="19">
        <v>-77212</v>
      </c>
      <c r="Y61" s="19">
        <v>-58889</v>
      </c>
      <c r="Z61" s="19">
        <v>-41939</v>
      </c>
      <c r="AA61" s="19">
        <v>-20133</v>
      </c>
      <c r="AB61" s="19">
        <v>-99517</v>
      </c>
      <c r="AC61" s="19">
        <v>-72706</v>
      </c>
      <c r="AD61" s="19">
        <v>-50206</v>
      </c>
      <c r="AE61" s="19">
        <v>-23491</v>
      </c>
    </row>
    <row r="62" spans="1:34" x14ac:dyDescent="0.25">
      <c r="A62" s="52" t="s">
        <v>41</v>
      </c>
      <c r="B62" s="170">
        <v>-31270</v>
      </c>
      <c r="C62" s="27">
        <v>-15199</v>
      </c>
      <c r="D62" s="27">
        <v>-48846</v>
      </c>
      <c r="E62" s="27">
        <v>-39351</v>
      </c>
      <c r="F62" s="27">
        <v>-26113</v>
      </c>
      <c r="G62" s="27">
        <v>-11848</v>
      </c>
      <c r="H62" s="27">
        <v>-47946</v>
      </c>
      <c r="I62" s="27">
        <v>-36197</v>
      </c>
      <c r="J62" s="27">
        <v>-24633</v>
      </c>
      <c r="K62" s="27">
        <v>-11205</v>
      </c>
      <c r="L62" s="27">
        <v>-44291</v>
      </c>
      <c r="M62" s="27">
        <v>-33194</v>
      </c>
      <c r="N62" s="27">
        <v>-24190</v>
      </c>
      <c r="O62" s="27">
        <v>-9288</v>
      </c>
      <c r="P62" s="27">
        <v>-24618</v>
      </c>
      <c r="Q62" s="27">
        <v>-15532</v>
      </c>
      <c r="R62" s="27">
        <v>-9464</v>
      </c>
      <c r="S62" s="27">
        <v>-4587</v>
      </c>
      <c r="T62" s="27">
        <v>-16499</v>
      </c>
      <c r="U62" s="27">
        <v>-12338</v>
      </c>
      <c r="V62" s="27">
        <v>-8163</v>
      </c>
      <c r="W62" s="27">
        <v>-4014</v>
      </c>
      <c r="X62" s="27">
        <v>-16031</v>
      </c>
      <c r="Y62" s="27">
        <v>-12018</v>
      </c>
      <c r="Z62" s="27">
        <v>-8008</v>
      </c>
      <c r="AA62" s="27">
        <v>-3963</v>
      </c>
      <c r="AB62" s="27">
        <v>-12096</v>
      </c>
      <c r="AC62" s="27">
        <v>-8096</v>
      </c>
      <c r="AD62" s="27">
        <v>-4135</v>
      </c>
      <c r="AE62" s="27"/>
    </row>
    <row r="63" spans="1:34" x14ac:dyDescent="0.25">
      <c r="A63" s="55" t="s">
        <v>259</v>
      </c>
      <c r="B63" s="167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 t="s">
        <v>17</v>
      </c>
      <c r="I63" s="19" t="s">
        <v>17</v>
      </c>
      <c r="J63" s="19" t="s">
        <v>17</v>
      </c>
      <c r="K63" s="19" t="s">
        <v>17</v>
      </c>
      <c r="L63" s="19" t="s">
        <v>17</v>
      </c>
      <c r="M63" s="19" t="s">
        <v>17</v>
      </c>
      <c r="N63" s="19" t="s">
        <v>17</v>
      </c>
      <c r="O63" s="19">
        <v>0</v>
      </c>
      <c r="P63" s="19" t="s">
        <v>17</v>
      </c>
      <c r="Q63" s="19" t="s">
        <v>17</v>
      </c>
      <c r="R63" s="19" t="s">
        <v>17</v>
      </c>
      <c r="S63" s="19" t="s">
        <v>17</v>
      </c>
      <c r="T63" s="19">
        <v>-79884</v>
      </c>
      <c r="U63" s="19" t="s">
        <v>17</v>
      </c>
      <c r="V63" s="19" t="s">
        <v>17</v>
      </c>
      <c r="W63" s="19">
        <v>0</v>
      </c>
      <c r="X63" s="19">
        <v>-74992</v>
      </c>
      <c r="Y63" s="19">
        <v>-56244</v>
      </c>
      <c r="Z63" s="19"/>
      <c r="AA63" s="19"/>
      <c r="AB63" s="19">
        <v>-28792</v>
      </c>
      <c r="AC63" s="19">
        <v>-9989</v>
      </c>
      <c r="AD63" s="19"/>
      <c r="AE63" s="19"/>
    </row>
    <row r="64" spans="1:34" x14ac:dyDescent="0.25">
      <c r="A64" s="52" t="s">
        <v>147</v>
      </c>
      <c r="B64" s="170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 t="s">
        <v>17</v>
      </c>
      <c r="I64" s="27" t="s">
        <v>17</v>
      </c>
      <c r="J64" s="27" t="s">
        <v>17</v>
      </c>
      <c r="K64" s="27" t="s">
        <v>17</v>
      </c>
      <c r="L64" s="27" t="s">
        <v>17</v>
      </c>
      <c r="M64" s="27" t="s">
        <v>17</v>
      </c>
      <c r="N64" s="27" t="s">
        <v>17</v>
      </c>
      <c r="O64" s="27">
        <v>0</v>
      </c>
      <c r="P64" s="27">
        <v>100128</v>
      </c>
      <c r="Q64" s="27">
        <v>73994</v>
      </c>
      <c r="R64" s="27">
        <v>44999</v>
      </c>
      <c r="S64" s="27" t="s">
        <v>17</v>
      </c>
      <c r="T64" s="27" t="s">
        <v>17</v>
      </c>
      <c r="U64" s="27" t="s">
        <v>17</v>
      </c>
      <c r="V64" s="27" t="s">
        <v>17</v>
      </c>
      <c r="W64" s="27">
        <v>0</v>
      </c>
      <c r="X64" s="27" t="s">
        <v>17</v>
      </c>
      <c r="Y64" s="27"/>
      <c r="Z64" s="27"/>
      <c r="AA64" s="27"/>
      <c r="AB64" s="27" t="s">
        <v>17</v>
      </c>
      <c r="AC64" s="27"/>
      <c r="AD64" s="27"/>
      <c r="AE64" s="27"/>
    </row>
    <row r="65" spans="1:31" x14ac:dyDescent="0.25">
      <c r="A65" s="55" t="s">
        <v>49</v>
      </c>
      <c r="B65" s="167">
        <v>33127</v>
      </c>
      <c r="C65" s="19">
        <v>33127</v>
      </c>
      <c r="D65" s="19">
        <v>13856</v>
      </c>
      <c r="E65" s="19">
        <v>871</v>
      </c>
      <c r="F65" s="19">
        <v>872</v>
      </c>
      <c r="G65" s="19">
        <v>356</v>
      </c>
      <c r="H65" s="19">
        <v>2077</v>
      </c>
      <c r="I65" s="19">
        <v>1904</v>
      </c>
      <c r="J65" s="19">
        <v>1871</v>
      </c>
      <c r="K65" s="19">
        <v>1349</v>
      </c>
      <c r="L65" s="19">
        <v>24524</v>
      </c>
      <c r="M65" s="19">
        <v>24418</v>
      </c>
      <c r="N65" s="19">
        <v>19901</v>
      </c>
      <c r="O65" s="19">
        <v>19597</v>
      </c>
      <c r="P65" s="19">
        <v>26779</v>
      </c>
      <c r="Q65" s="19">
        <v>23998</v>
      </c>
      <c r="R65" s="19">
        <v>10982</v>
      </c>
      <c r="S65" s="19">
        <v>9407</v>
      </c>
      <c r="T65" s="19">
        <v>29663</v>
      </c>
      <c r="U65" s="19">
        <v>23898</v>
      </c>
      <c r="V65" s="19">
        <v>21766</v>
      </c>
      <c r="W65" s="19">
        <v>12203</v>
      </c>
      <c r="X65" s="19">
        <v>42100</v>
      </c>
      <c r="Y65" s="19"/>
      <c r="Z65" s="19">
        <v>14686</v>
      </c>
      <c r="AA65" s="19">
        <v>11808</v>
      </c>
      <c r="AB65" s="19">
        <v>16654</v>
      </c>
      <c r="AC65" s="19">
        <v>14441</v>
      </c>
      <c r="AD65" s="19">
        <v>11285</v>
      </c>
      <c r="AE65" s="19">
        <v>2496</v>
      </c>
    </row>
    <row r="66" spans="1:31" x14ac:dyDescent="0.25">
      <c r="A66" s="52" t="s">
        <v>148</v>
      </c>
      <c r="B66" s="170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 t="s">
        <v>17</v>
      </c>
      <c r="I66" s="27" t="s">
        <v>17</v>
      </c>
      <c r="J66" s="27" t="s">
        <v>17</v>
      </c>
      <c r="K66" s="27" t="s">
        <v>17</v>
      </c>
      <c r="L66" s="27" t="s">
        <v>17</v>
      </c>
      <c r="M66" s="27" t="s">
        <v>17</v>
      </c>
      <c r="N66" s="27" t="s">
        <v>17</v>
      </c>
      <c r="O66" s="27">
        <v>0</v>
      </c>
      <c r="P66" s="27" t="s">
        <v>17</v>
      </c>
      <c r="Q66" s="27" t="s">
        <v>17</v>
      </c>
      <c r="R66" s="27" t="s">
        <v>17</v>
      </c>
      <c r="S66" s="27" t="s">
        <v>17</v>
      </c>
      <c r="T66" s="27" t="s">
        <v>17</v>
      </c>
      <c r="U66" s="27" t="s">
        <v>17</v>
      </c>
      <c r="V66" s="27" t="s">
        <v>17</v>
      </c>
      <c r="W66" s="27">
        <v>0</v>
      </c>
      <c r="X66" s="27">
        <v>0</v>
      </c>
      <c r="Y66" s="27"/>
      <c r="Z66" s="27"/>
      <c r="AA66" s="27"/>
      <c r="AB66" s="27">
        <v>-114</v>
      </c>
      <c r="AC66" s="27">
        <v>-115</v>
      </c>
      <c r="AD66" s="27">
        <v>-115</v>
      </c>
      <c r="AE66" s="27">
        <v>-115</v>
      </c>
    </row>
    <row r="67" spans="1:31" x14ac:dyDescent="0.25">
      <c r="A67" s="55" t="s">
        <v>149</v>
      </c>
      <c r="B67" s="167">
        <v>-159070</v>
      </c>
      <c r="C67" s="19">
        <v>0</v>
      </c>
      <c r="D67" s="19">
        <v>-147629</v>
      </c>
      <c r="E67" s="19">
        <v>-147629</v>
      </c>
      <c r="F67" s="19">
        <v>-147629</v>
      </c>
      <c r="G67" s="19">
        <v>0</v>
      </c>
      <c r="H67" s="19">
        <v>-138666</v>
      </c>
      <c r="I67" s="19">
        <v>-138666</v>
      </c>
      <c r="J67" s="19">
        <v>-138666</v>
      </c>
      <c r="K67" s="19">
        <v>0</v>
      </c>
      <c r="L67" s="19">
        <v>-95388</v>
      </c>
      <c r="M67" s="19">
        <v>-95388</v>
      </c>
      <c r="N67" s="19">
        <v>-95388</v>
      </c>
      <c r="O67" s="19">
        <v>0</v>
      </c>
      <c r="P67" s="19">
        <v>-83709</v>
      </c>
      <c r="Q67" s="19">
        <v>-83709</v>
      </c>
      <c r="R67" s="19">
        <v>-82585</v>
      </c>
      <c r="S67" s="19" t="s">
        <v>17</v>
      </c>
      <c r="T67" s="19" t="s">
        <v>17</v>
      </c>
      <c r="U67" s="19">
        <v>-79884</v>
      </c>
      <c r="V67" s="19">
        <v>-79884</v>
      </c>
      <c r="W67" s="19">
        <v>0</v>
      </c>
      <c r="X67" s="19">
        <v>0</v>
      </c>
      <c r="Y67" s="19"/>
      <c r="Z67" s="19"/>
      <c r="AA67" s="19"/>
      <c r="AB67" s="19">
        <v>0</v>
      </c>
      <c r="AC67" s="19"/>
      <c r="AD67" s="19"/>
      <c r="AE67" s="19"/>
    </row>
    <row r="68" spans="1:31" x14ac:dyDescent="0.25">
      <c r="A68" s="52" t="s">
        <v>150</v>
      </c>
      <c r="B68" s="170">
        <v>0</v>
      </c>
      <c r="C68" s="27">
        <v>0</v>
      </c>
      <c r="D68" s="27">
        <v>0</v>
      </c>
      <c r="E68" s="27">
        <v>0</v>
      </c>
      <c r="F68" s="27">
        <v>0</v>
      </c>
      <c r="G68" s="27" t="s">
        <v>17</v>
      </c>
      <c r="H68" s="27" t="s">
        <v>17</v>
      </c>
      <c r="I68" s="27" t="s">
        <v>17</v>
      </c>
      <c r="J68" s="27" t="s">
        <v>17</v>
      </c>
      <c r="K68" s="27" t="s">
        <v>17</v>
      </c>
      <c r="L68" s="27" t="s">
        <v>17</v>
      </c>
      <c r="M68" s="27" t="s">
        <v>17</v>
      </c>
      <c r="N68" s="27" t="s">
        <v>17</v>
      </c>
      <c r="O68" s="27">
        <v>0</v>
      </c>
      <c r="P68" s="27" t="s">
        <v>17</v>
      </c>
      <c r="Q68" s="27" t="s">
        <v>17</v>
      </c>
      <c r="R68" s="27" t="s">
        <v>17</v>
      </c>
      <c r="S68" s="27" t="s">
        <v>17</v>
      </c>
      <c r="T68" s="27">
        <v>502</v>
      </c>
      <c r="U68" s="27" t="s">
        <v>17</v>
      </c>
      <c r="V68" s="27" t="s">
        <v>17</v>
      </c>
      <c r="W68" s="27" t="s">
        <v>17</v>
      </c>
      <c r="X68" s="27" t="s">
        <v>17</v>
      </c>
      <c r="Y68" s="27"/>
      <c r="Z68" s="27"/>
      <c r="AA68" s="27"/>
      <c r="AB68" s="27" t="s">
        <v>17</v>
      </c>
      <c r="AC68" s="27"/>
      <c r="AD68" s="27"/>
      <c r="AE68" s="27"/>
    </row>
    <row r="69" spans="1:31" ht="13.5" customHeight="1" x14ac:dyDescent="0.25">
      <c r="A69" s="25" t="s">
        <v>151</v>
      </c>
      <c r="B69" s="175">
        <f t="shared" ref="B69" si="64">B8+B45+B57</f>
        <v>-299865</v>
      </c>
      <c r="C69" s="148">
        <f t="shared" ref="C69:AA69" si="65">C8+C45+C57</f>
        <v>-206398</v>
      </c>
      <c r="D69" s="148">
        <f t="shared" si="65"/>
        <v>125963</v>
      </c>
      <c r="E69" s="148">
        <f t="shared" si="65"/>
        <v>-67681</v>
      </c>
      <c r="F69" s="21">
        <f t="shared" si="65"/>
        <v>-224656</v>
      </c>
      <c r="G69" s="21">
        <f t="shared" si="65"/>
        <v>35688</v>
      </c>
      <c r="H69" s="21">
        <f t="shared" si="65"/>
        <v>329935</v>
      </c>
      <c r="I69" s="21">
        <f t="shared" si="65"/>
        <v>235517</v>
      </c>
      <c r="J69" s="21">
        <f t="shared" si="65"/>
        <v>-30804</v>
      </c>
      <c r="K69" s="21">
        <f t="shared" si="65"/>
        <v>-25181</v>
      </c>
      <c r="L69" s="21">
        <f t="shared" si="65"/>
        <v>-22340</v>
      </c>
      <c r="M69" s="21">
        <f t="shared" si="65"/>
        <v>53012</v>
      </c>
      <c r="N69" s="21">
        <f t="shared" si="65"/>
        <v>-63648</v>
      </c>
      <c r="O69" s="21">
        <f t="shared" si="65"/>
        <v>-42968</v>
      </c>
      <c r="P69" s="21">
        <f t="shared" si="65"/>
        <v>-52428</v>
      </c>
      <c r="Q69" s="21">
        <f t="shared" si="65"/>
        <v>-79523</v>
      </c>
      <c r="R69" s="21">
        <f t="shared" si="65"/>
        <v>-111426</v>
      </c>
      <c r="S69" s="21">
        <f t="shared" si="65"/>
        <v>-44238</v>
      </c>
      <c r="T69" s="21">
        <f t="shared" si="65"/>
        <v>-29336</v>
      </c>
      <c r="U69" s="21">
        <f t="shared" si="65"/>
        <v>63794</v>
      </c>
      <c r="V69" s="21">
        <f t="shared" si="65"/>
        <v>19872</v>
      </c>
      <c r="W69" s="21">
        <f t="shared" si="65"/>
        <v>34773</v>
      </c>
      <c r="X69" s="21">
        <f t="shared" si="65"/>
        <v>-1463</v>
      </c>
      <c r="Y69" s="21">
        <f t="shared" si="65"/>
        <v>22873</v>
      </c>
      <c r="Z69" s="21">
        <f t="shared" si="65"/>
        <v>108724</v>
      </c>
      <c r="AA69" s="21">
        <f t="shared" si="65"/>
        <v>-52868.561399999999</v>
      </c>
      <c r="AB69" s="21">
        <v>125610</v>
      </c>
      <c r="AC69" s="21">
        <f>AC8+AC45+AC57</f>
        <v>139930</v>
      </c>
      <c r="AD69" s="21">
        <f>AD8+AD45+AD57</f>
        <v>10117</v>
      </c>
      <c r="AE69" s="21">
        <f>AE8+AE45+AE57</f>
        <v>29084</v>
      </c>
    </row>
    <row r="70" spans="1:31" x14ac:dyDescent="0.25">
      <c r="A70" s="52" t="s">
        <v>152</v>
      </c>
      <c r="B70" s="170">
        <v>515164</v>
      </c>
      <c r="C70" s="27">
        <v>515164</v>
      </c>
      <c r="D70" s="27">
        <v>389201</v>
      </c>
      <c r="E70" s="27">
        <v>389201</v>
      </c>
      <c r="F70" s="27">
        <v>389201</v>
      </c>
      <c r="G70" s="27">
        <v>389201</v>
      </c>
      <c r="H70" s="27">
        <v>59266</v>
      </c>
      <c r="I70" s="27">
        <v>59266</v>
      </c>
      <c r="J70" s="27">
        <v>59266</v>
      </c>
      <c r="K70" s="27">
        <v>59266</v>
      </c>
      <c r="L70" s="27">
        <v>81606</v>
      </c>
      <c r="M70" s="27">
        <v>81606</v>
      </c>
      <c r="N70" s="27">
        <v>81606</v>
      </c>
      <c r="O70" s="27">
        <v>81606</v>
      </c>
      <c r="P70" s="27">
        <v>138808</v>
      </c>
      <c r="Q70" s="27">
        <v>138808</v>
      </c>
      <c r="R70" s="27">
        <v>138808</v>
      </c>
      <c r="S70" s="27">
        <v>138808</v>
      </c>
      <c r="T70" s="27">
        <v>168144</v>
      </c>
      <c r="U70" s="27">
        <v>168144</v>
      </c>
      <c r="V70" s="27">
        <v>168144</v>
      </c>
      <c r="W70" s="27">
        <v>168144</v>
      </c>
      <c r="X70" s="27">
        <v>169607</v>
      </c>
      <c r="Y70" s="27">
        <v>169607</v>
      </c>
      <c r="Z70" s="27">
        <v>169607</v>
      </c>
      <c r="AA70" s="27">
        <v>169607</v>
      </c>
      <c r="AB70" s="27">
        <v>43997</v>
      </c>
      <c r="AC70" s="27">
        <v>43997</v>
      </c>
      <c r="AD70" s="27">
        <v>43997</v>
      </c>
      <c r="AE70" s="27">
        <v>43997</v>
      </c>
    </row>
    <row r="71" spans="1:31" x14ac:dyDescent="0.25">
      <c r="A71" s="55" t="s">
        <v>153</v>
      </c>
      <c r="B71" s="167">
        <v>215299</v>
      </c>
      <c r="C71" s="19">
        <v>308766</v>
      </c>
      <c r="D71" s="19">
        <v>515164</v>
      </c>
      <c r="E71" s="19">
        <v>321520</v>
      </c>
      <c r="F71" s="19">
        <v>164545</v>
      </c>
      <c r="G71" s="19">
        <v>424889</v>
      </c>
      <c r="H71" s="19">
        <v>389201</v>
      </c>
      <c r="I71" s="19">
        <v>294783</v>
      </c>
      <c r="J71" s="19">
        <v>28462</v>
      </c>
      <c r="K71" s="19">
        <v>34085</v>
      </c>
      <c r="L71" s="19">
        <v>59266</v>
      </c>
      <c r="M71" s="19">
        <v>134618</v>
      </c>
      <c r="N71" s="19">
        <v>17958</v>
      </c>
      <c r="O71" s="19">
        <v>38638</v>
      </c>
      <c r="P71" s="19">
        <v>81606</v>
      </c>
      <c r="Q71" s="19">
        <v>54511</v>
      </c>
      <c r="R71" s="19">
        <v>23825</v>
      </c>
      <c r="S71" s="19">
        <v>92822</v>
      </c>
      <c r="T71" s="19">
        <v>138808</v>
      </c>
      <c r="U71" s="19">
        <v>231035</v>
      </c>
      <c r="V71" s="19">
        <v>188016</v>
      </c>
      <c r="W71" s="19">
        <v>202917</v>
      </c>
      <c r="X71" s="19">
        <v>168144</v>
      </c>
      <c r="Y71" s="19">
        <v>192480</v>
      </c>
      <c r="Z71" s="19">
        <v>278331</v>
      </c>
      <c r="AA71" s="19">
        <v>116738</v>
      </c>
      <c r="AB71" s="19">
        <v>169607</v>
      </c>
      <c r="AC71" s="19">
        <v>183927</v>
      </c>
      <c r="AD71" s="19">
        <v>54114</v>
      </c>
      <c r="AE71" s="19">
        <v>73081</v>
      </c>
    </row>
    <row r="72" spans="1:31" x14ac:dyDescent="0.25">
      <c r="L72"/>
      <c r="P72"/>
      <c r="AB72"/>
    </row>
    <row r="73" spans="1:31" x14ac:dyDescent="0.25">
      <c r="F73" s="35"/>
      <c r="G73" s="35">
        <f t="shared" ref="G73:H73" si="66">G70-G71+G69</f>
        <v>0</v>
      </c>
      <c r="H73" s="35">
        <f t="shared" si="66"/>
        <v>0</v>
      </c>
      <c r="I73" s="35">
        <f t="shared" ref="I73:J73" si="67">I70-I71+I69</f>
        <v>0</v>
      </c>
      <c r="J73" s="35">
        <f t="shared" si="67"/>
        <v>0</v>
      </c>
      <c r="K73" s="35">
        <f t="shared" ref="K73:W73" si="68">K70-K71+K69</f>
        <v>0</v>
      </c>
      <c r="L73" s="35">
        <f t="shared" si="68"/>
        <v>0</v>
      </c>
      <c r="M73" s="35">
        <f t="shared" si="68"/>
        <v>0</v>
      </c>
      <c r="N73" s="35">
        <f t="shared" si="68"/>
        <v>0</v>
      </c>
      <c r="O73" s="35">
        <f>O70-O71+O69</f>
        <v>0</v>
      </c>
      <c r="P73" s="35">
        <f t="shared" ref="P73" si="69">P70-P71+P69</f>
        <v>4774</v>
      </c>
      <c r="Q73" s="35">
        <f t="shared" si="68"/>
        <v>4774</v>
      </c>
      <c r="R73" s="35">
        <f t="shared" si="68"/>
        <v>3557</v>
      </c>
      <c r="S73" s="35">
        <f t="shared" si="68"/>
        <v>1748</v>
      </c>
      <c r="T73" s="35">
        <f>T70-T71+T69</f>
        <v>0</v>
      </c>
      <c r="U73" s="35">
        <f t="shared" si="68"/>
        <v>903</v>
      </c>
      <c r="V73" s="35">
        <f t="shared" si="68"/>
        <v>0</v>
      </c>
      <c r="W73" s="35">
        <f t="shared" si="68"/>
        <v>0</v>
      </c>
      <c r="X73" s="35">
        <f>X70-X71+X69</f>
        <v>0</v>
      </c>
      <c r="Y73" s="35"/>
      <c r="Z73" s="35"/>
      <c r="AA73" s="35"/>
      <c r="AB73" s="35">
        <f t="shared" ref="AB73" si="70">AB70-AB71+AB69</f>
        <v>0</v>
      </c>
      <c r="AC73" s="35"/>
      <c r="AD73" s="35"/>
      <c r="AE73" s="35"/>
    </row>
    <row r="74" spans="1:31" x14ac:dyDescent="0.25">
      <c r="L74"/>
      <c r="P74"/>
      <c r="AB74"/>
    </row>
    <row r="77" spans="1:31" x14ac:dyDescent="0.25">
      <c r="S77" s="24"/>
    </row>
    <row r="78" spans="1:31" x14ac:dyDescent="0.25">
      <c r="S78" s="24"/>
    </row>
    <row r="79" spans="1:31" x14ac:dyDescent="0.25">
      <c r="S79" s="35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AMY51"/>
  <sheetViews>
    <sheetView showGridLines="0" zoomScale="90" zoomScaleNormal="90" workbookViewId="0">
      <pane xSplit="1" ySplit="7" topLeftCell="B46" activePane="bottomRight" state="frozen"/>
      <selection pane="topRight" activeCell="B1" sqref="B1"/>
      <selection pane="bottomLeft" activeCell="A35" sqref="A35"/>
      <selection pane="bottomRight"/>
    </sheetView>
  </sheetViews>
  <sheetFormatPr defaultColWidth="8.7109375" defaultRowHeight="15" x14ac:dyDescent="0.25"/>
  <cols>
    <col min="1" max="1" width="62.42578125" bestFit="1" customWidth="1"/>
    <col min="2" max="2" width="11.85546875" customWidth="1"/>
    <col min="3" max="3" width="11.5703125" bestFit="1" customWidth="1"/>
    <col min="4" max="4" width="11.140625" bestFit="1" customWidth="1"/>
    <col min="5" max="5" width="12.5703125" customWidth="1"/>
    <col min="6" max="6" width="11.5703125" customWidth="1"/>
    <col min="7" max="11" width="11.140625" bestFit="1" customWidth="1"/>
    <col min="12" max="12" width="11.5703125" style="113" bestFit="1" customWidth="1"/>
    <col min="13" max="14" width="11.5703125" bestFit="1" customWidth="1"/>
    <col min="15" max="15" width="9.85546875" customWidth="1"/>
    <col min="16" max="16" width="11.5703125" style="113" bestFit="1" customWidth="1"/>
    <col min="17" max="17" width="11.5703125" customWidth="1"/>
    <col min="18" max="18" width="11.5703125" bestFit="1" customWidth="1"/>
    <col min="19" max="19" width="9.85546875" bestFit="1" customWidth="1"/>
    <col min="20" max="20" width="11.5703125" style="113" bestFit="1" customWidth="1"/>
    <col min="21" max="21" width="11.5703125" bestFit="1" customWidth="1"/>
    <col min="22" max="22" width="11.140625" bestFit="1" customWidth="1"/>
    <col min="23" max="23" width="9.85546875" customWidth="1"/>
    <col min="24" max="24" width="11.5703125" style="113" bestFit="1" customWidth="1"/>
    <col min="25" max="25" width="11.5703125" bestFit="1" customWidth="1"/>
    <col min="26" max="26" width="11.140625" bestFit="1" customWidth="1"/>
    <col min="27" max="27" width="9.85546875" customWidth="1"/>
    <col min="28" max="28" width="11.5703125" style="113" bestFit="1" customWidth="1"/>
    <col min="29" max="29" width="11.5703125" bestFit="1" customWidth="1"/>
    <col min="30" max="30" width="11.140625" bestFit="1" customWidth="1"/>
    <col min="31" max="31" width="9.85546875" customWidth="1"/>
    <col min="32" max="34" width="10.5703125" customWidth="1"/>
    <col min="37" max="1039" width="8.7109375" hidden="1"/>
    <col min="1040" max="1042" width="11.5703125" customWidth="1"/>
  </cols>
  <sheetData>
    <row r="1" spans="1:31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AD1" s="1"/>
      <c r="AE1" s="1"/>
    </row>
    <row r="2" spans="1:31" ht="18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AD2" s="1"/>
      <c r="AE2" s="1"/>
    </row>
    <row r="3" spans="1:31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R3" s="130"/>
      <c r="AD3" s="1"/>
      <c r="AE3" s="1"/>
    </row>
    <row r="4" spans="1:31" ht="48" customHeight="1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Q4" s="131"/>
      <c r="R4" s="130"/>
      <c r="S4" s="131"/>
      <c r="T4" s="132"/>
      <c r="U4" s="131"/>
      <c r="V4" s="131"/>
      <c r="W4" s="131"/>
      <c r="X4" s="126"/>
      <c r="Y4" s="131"/>
      <c r="Z4" s="131"/>
      <c r="AA4" s="131"/>
      <c r="AB4" s="132"/>
      <c r="AC4" s="131"/>
      <c r="AD4" s="56"/>
      <c r="AE4" s="56"/>
    </row>
    <row r="5" spans="1:31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Q5" s="125"/>
      <c r="R5" s="125"/>
      <c r="S5" s="125"/>
      <c r="U5" s="125"/>
      <c r="V5" s="125"/>
      <c r="W5" s="125"/>
      <c r="Y5" s="125"/>
      <c r="Z5" s="125"/>
      <c r="AA5" s="125"/>
      <c r="AC5" s="125"/>
      <c r="AD5" s="8"/>
      <c r="AE5" s="8"/>
    </row>
    <row r="6" spans="1:31" ht="15.75" customHeight="1" x14ac:dyDescent="0.25">
      <c r="A6" s="9" t="s">
        <v>154</v>
      </c>
      <c r="B6" s="9"/>
      <c r="C6" s="9"/>
      <c r="D6" s="9"/>
      <c r="E6" s="9"/>
      <c r="F6" s="9"/>
      <c r="L6"/>
      <c r="P6"/>
      <c r="T6"/>
      <c r="X6"/>
      <c r="AB6"/>
    </row>
    <row r="7" spans="1:31" ht="15.75" customHeight="1" x14ac:dyDescent="0.25">
      <c r="A7" s="8" t="s">
        <v>2</v>
      </c>
      <c r="B7" s="10" t="s">
        <v>278</v>
      </c>
      <c r="C7" s="10" t="s">
        <v>275</v>
      </c>
      <c r="D7" s="10" t="s">
        <v>274</v>
      </c>
      <c r="E7" s="10" t="s">
        <v>270</v>
      </c>
      <c r="F7" s="10" t="s">
        <v>269</v>
      </c>
      <c r="G7" s="10" t="s">
        <v>265</v>
      </c>
      <c r="H7" s="10" t="s">
        <v>263</v>
      </c>
      <c r="I7" s="10" t="s">
        <v>262</v>
      </c>
      <c r="J7" s="10" t="s">
        <v>260</v>
      </c>
      <c r="K7" s="10" t="s">
        <v>257</v>
      </c>
      <c r="L7" s="10" t="s">
        <v>255</v>
      </c>
      <c r="M7" s="10" t="s">
        <v>254</v>
      </c>
      <c r="N7" s="10" t="s">
        <v>250</v>
      </c>
      <c r="O7" s="10" t="s">
        <v>246</v>
      </c>
      <c r="P7" s="10" t="s">
        <v>3</v>
      </c>
      <c r="Q7" s="10" t="s">
        <v>4</v>
      </c>
      <c r="R7" s="10" t="s">
        <v>5</v>
      </c>
      <c r="S7" s="10" t="s">
        <v>6</v>
      </c>
      <c r="T7" s="10" t="s">
        <v>7</v>
      </c>
      <c r="U7" s="10" t="s">
        <v>8</v>
      </c>
      <c r="V7" s="10" t="s">
        <v>9</v>
      </c>
      <c r="W7" s="10" t="s">
        <v>10</v>
      </c>
      <c r="X7" s="10" t="s">
        <v>11</v>
      </c>
      <c r="Y7" s="10" t="s">
        <v>194</v>
      </c>
      <c r="Z7" s="10" t="s">
        <v>195</v>
      </c>
      <c r="AA7" s="10" t="s">
        <v>196</v>
      </c>
      <c r="AB7" s="10" t="s">
        <v>12</v>
      </c>
      <c r="AC7" s="10" t="s">
        <v>197</v>
      </c>
      <c r="AD7" s="10" t="s">
        <v>198</v>
      </c>
      <c r="AE7" s="10" t="s">
        <v>199</v>
      </c>
    </row>
    <row r="8" spans="1:31" ht="13.5" customHeight="1" x14ac:dyDescent="0.25">
      <c r="A8" s="25" t="s">
        <v>155</v>
      </c>
      <c r="B8" s="168">
        <f t="shared" ref="B8" si="0">SUM(B9:B15)</f>
        <v>2260353</v>
      </c>
      <c r="C8" s="21">
        <f>SUM(C9:C15)</f>
        <v>1031415</v>
      </c>
      <c r="D8" s="21">
        <f>SUM(D9:D15)</f>
        <v>4530778</v>
      </c>
      <c r="E8" s="21">
        <f t="shared" ref="E8:K8" si="1">SUM(E9:E15)</f>
        <v>3241783</v>
      </c>
      <c r="F8" s="21">
        <f t="shared" si="1"/>
        <v>2039724</v>
      </c>
      <c r="G8" s="21">
        <f t="shared" si="1"/>
        <v>962901</v>
      </c>
      <c r="H8" s="21">
        <f t="shared" si="1"/>
        <v>4199790</v>
      </c>
      <c r="I8" s="21">
        <f t="shared" si="1"/>
        <v>3151281</v>
      </c>
      <c r="J8" s="21">
        <f t="shared" si="1"/>
        <v>2047898</v>
      </c>
      <c r="K8" s="21">
        <f t="shared" si="1"/>
        <v>1031577</v>
      </c>
      <c r="L8" s="21">
        <f t="shared" ref="L8:M8" si="2">SUM(L9:L15)</f>
        <v>3796262</v>
      </c>
      <c r="M8" s="21">
        <f t="shared" si="2"/>
        <v>2652954</v>
      </c>
      <c r="N8" s="21">
        <f t="shared" ref="N8" si="3">SUM(N9:N15)</f>
        <v>1683541</v>
      </c>
      <c r="O8" s="21">
        <f t="shared" ref="O8" si="4">SUM(O9:O15)</f>
        <v>787744</v>
      </c>
      <c r="P8" s="21">
        <f t="shared" ref="P8" si="5">SUM(P9:P15)</f>
        <v>3304343</v>
      </c>
      <c r="Q8" s="21">
        <f t="shared" ref="Q8" si="6">SUM(Q9:Q15)</f>
        <v>2442523</v>
      </c>
      <c r="R8" s="21">
        <f t="shared" ref="R8" si="7">SUM(R9:R15)</f>
        <v>1542511</v>
      </c>
      <c r="S8" s="21">
        <f t="shared" ref="S8:AB8" si="8">SUM(S9:S15)</f>
        <v>715559</v>
      </c>
      <c r="T8" s="21">
        <f t="shared" ref="T8" si="9">SUM(T9:T15)</f>
        <v>2892139</v>
      </c>
      <c r="U8" s="21">
        <f t="shared" si="8"/>
        <v>2061128</v>
      </c>
      <c r="V8" s="21">
        <f t="shared" si="8"/>
        <v>1313738</v>
      </c>
      <c r="W8" s="21">
        <f t="shared" ref="W8" si="10">SUM(W9:W15)</f>
        <v>641938</v>
      </c>
      <c r="X8" s="21">
        <v>2724085</v>
      </c>
      <c r="Y8" s="21">
        <f t="shared" ref="Y8:AA8" si="11">SUM(Y9:Y15)</f>
        <v>1979928</v>
      </c>
      <c r="Z8" s="21">
        <f t="shared" si="11"/>
        <v>1271763</v>
      </c>
      <c r="AA8" s="21">
        <f t="shared" si="11"/>
        <v>630041</v>
      </c>
      <c r="AB8" s="21">
        <f t="shared" si="8"/>
        <v>2599796</v>
      </c>
      <c r="AC8" s="21">
        <f t="shared" ref="AC8:AE8" si="12">SUM(AC9:AC15)</f>
        <v>1852709</v>
      </c>
      <c r="AD8" s="21">
        <f t="shared" si="12"/>
        <v>1191355</v>
      </c>
      <c r="AE8" s="21">
        <f t="shared" si="12"/>
        <v>568875</v>
      </c>
    </row>
    <row r="9" spans="1:31" x14ac:dyDescent="0.25">
      <c r="A9" s="58" t="s">
        <v>156</v>
      </c>
      <c r="B9" s="159">
        <v>1977015</v>
      </c>
      <c r="C9" s="159">
        <v>930480</v>
      </c>
      <c r="D9" s="27">
        <v>3902784</v>
      </c>
      <c r="E9" s="27">
        <v>2885664</v>
      </c>
      <c r="F9" s="27">
        <v>1861066</v>
      </c>
      <c r="G9" s="27">
        <v>900306</v>
      </c>
      <c r="H9" s="27">
        <v>3633963</v>
      </c>
      <c r="I9" s="27">
        <v>2723771</v>
      </c>
      <c r="J9" s="27">
        <v>1747534</v>
      </c>
      <c r="K9" s="27">
        <v>843176</v>
      </c>
      <c r="L9" s="27">
        <v>3375373</v>
      </c>
      <c r="M9" s="27">
        <v>2461911</v>
      </c>
      <c r="N9" s="27">
        <v>1569672</v>
      </c>
      <c r="O9" s="27">
        <v>734071</v>
      </c>
      <c r="P9" s="27">
        <v>3031892</v>
      </c>
      <c r="Q9" s="27">
        <v>2265089</v>
      </c>
      <c r="R9" s="27">
        <v>1454302</v>
      </c>
      <c r="S9" s="27">
        <v>690963</v>
      </c>
      <c r="T9" s="27">
        <v>2691504</v>
      </c>
      <c r="U9" s="27">
        <v>1995096</v>
      </c>
      <c r="V9" s="27">
        <v>1284636</v>
      </c>
      <c r="W9" s="27">
        <v>624706</v>
      </c>
      <c r="X9" s="27">
        <v>2602912</v>
      </c>
      <c r="Y9" s="27">
        <v>1923600</v>
      </c>
      <c r="Z9" s="27">
        <v>1230882</v>
      </c>
      <c r="AA9" s="27">
        <v>625775</v>
      </c>
      <c r="AB9" s="27">
        <v>2464340</v>
      </c>
      <c r="AC9" s="27">
        <v>1828110</v>
      </c>
      <c r="AD9" s="27">
        <v>1144723</v>
      </c>
      <c r="AE9" s="27">
        <v>563972</v>
      </c>
    </row>
    <row r="10" spans="1:31" x14ac:dyDescent="0.25">
      <c r="A10" s="60" t="s">
        <v>157</v>
      </c>
      <c r="B10" s="167">
        <v>328087</v>
      </c>
      <c r="C10" s="19">
        <v>129277</v>
      </c>
      <c r="D10" s="19">
        <v>632543</v>
      </c>
      <c r="E10" s="19">
        <v>388745</v>
      </c>
      <c r="F10" s="19">
        <v>221317</v>
      </c>
      <c r="G10" s="19">
        <v>102597</v>
      </c>
      <c r="H10" s="19">
        <v>547090</v>
      </c>
      <c r="I10" s="19">
        <v>436227</v>
      </c>
      <c r="J10" s="19">
        <v>306698</v>
      </c>
      <c r="K10" s="19">
        <v>189412</v>
      </c>
      <c r="L10" s="19">
        <v>413413</v>
      </c>
      <c r="M10" s="19">
        <v>241884</v>
      </c>
      <c r="N10" s="19">
        <v>148802</v>
      </c>
      <c r="O10" s="19">
        <v>71166</v>
      </c>
      <c r="P10" s="19">
        <v>286463</v>
      </c>
      <c r="Q10" s="19">
        <v>189115</v>
      </c>
      <c r="R10" s="19">
        <v>92721</v>
      </c>
      <c r="S10" s="19">
        <v>24237</v>
      </c>
      <c r="T10" s="19">
        <v>99395</v>
      </c>
      <c r="U10" s="19">
        <v>70412</v>
      </c>
      <c r="V10" s="19">
        <v>46745</v>
      </c>
      <c r="W10" s="19">
        <v>22519</v>
      </c>
      <c r="X10" s="19">
        <v>169996</v>
      </c>
      <c r="Y10" s="19">
        <v>128823</v>
      </c>
      <c r="Z10" s="19">
        <v>76904</v>
      </c>
      <c r="AA10" s="19">
        <v>29290</v>
      </c>
      <c r="AB10" s="19">
        <v>144307</v>
      </c>
      <c r="AC10" s="19">
        <v>117742</v>
      </c>
      <c r="AD10" s="19">
        <v>77303</v>
      </c>
      <c r="AE10" s="19">
        <v>32415</v>
      </c>
    </row>
    <row r="11" spans="1:31" x14ac:dyDescent="0.25">
      <c r="A11" s="58" t="s">
        <v>158</v>
      </c>
      <c r="B11" s="170">
        <v>-54834</v>
      </c>
      <c r="C11" s="27">
        <v>-31934</v>
      </c>
      <c r="D11" s="27">
        <v>-54074</v>
      </c>
      <c r="E11" s="27">
        <v>-70218</v>
      </c>
      <c r="F11" s="27">
        <v>-79325</v>
      </c>
      <c r="G11" s="27">
        <v>-47278</v>
      </c>
      <c r="H11" s="27">
        <v>-56298</v>
      </c>
      <c r="I11" s="27">
        <v>-65523</v>
      </c>
      <c r="J11" s="27">
        <v>-49945</v>
      </c>
      <c r="K11" s="27">
        <v>-31371</v>
      </c>
      <c r="L11" s="27">
        <v>-99891</v>
      </c>
      <c r="M11" s="27">
        <v>-85379</v>
      </c>
      <c r="N11" s="27">
        <v>-56544</v>
      </c>
      <c r="O11" s="27">
        <v>-28687</v>
      </c>
      <c r="P11" s="27">
        <v>-92307</v>
      </c>
      <c r="Q11" s="27">
        <v>-70381</v>
      </c>
      <c r="R11" s="27">
        <v>-46964</v>
      </c>
      <c r="S11" s="27">
        <v>-25774</v>
      </c>
      <c r="T11" s="27">
        <v>93264</v>
      </c>
      <c r="U11" s="27">
        <v>-3608</v>
      </c>
      <c r="V11" s="27">
        <v>484</v>
      </c>
      <c r="W11" s="27">
        <v>5002</v>
      </c>
      <c r="X11" s="27">
        <v>21791</v>
      </c>
      <c r="Y11" s="27">
        <v>-13358</v>
      </c>
      <c r="Z11" s="27">
        <v>-6880</v>
      </c>
      <c r="AA11" s="27">
        <v>-14149</v>
      </c>
      <c r="AB11" s="27">
        <v>32657</v>
      </c>
      <c r="AC11" s="27">
        <v>-43290</v>
      </c>
      <c r="AD11" s="27">
        <v>-9234</v>
      </c>
      <c r="AE11" s="27">
        <v>-17255</v>
      </c>
    </row>
    <row r="12" spans="1:31" x14ac:dyDescent="0.25">
      <c r="A12" s="60" t="s">
        <v>159</v>
      </c>
      <c r="B12" s="167">
        <v>1210</v>
      </c>
      <c r="C12" s="19">
        <v>-360</v>
      </c>
      <c r="D12" s="19">
        <v>16627</v>
      </c>
      <c r="E12" s="19">
        <v>9120</v>
      </c>
      <c r="F12" s="19">
        <v>5302</v>
      </c>
      <c r="G12" s="19">
        <v>2243</v>
      </c>
      <c r="H12" s="19">
        <v>26872</v>
      </c>
      <c r="I12" s="19">
        <v>15027</v>
      </c>
      <c r="J12" s="19">
        <v>10025</v>
      </c>
      <c r="K12" s="19">
        <v>5236</v>
      </c>
      <c r="L12" s="19">
        <v>33345</v>
      </c>
      <c r="M12" s="19">
        <v>21411</v>
      </c>
      <c r="N12" s="19">
        <v>13076</v>
      </c>
      <c r="O12" s="19">
        <v>7077</v>
      </c>
      <c r="P12" s="19">
        <v>48439</v>
      </c>
      <c r="Q12" s="19">
        <v>38681</v>
      </c>
      <c r="R12" s="19">
        <v>27658</v>
      </c>
      <c r="S12" s="19">
        <v>15806</v>
      </c>
      <c r="T12" s="19">
        <v>-35541</v>
      </c>
      <c r="U12" s="19">
        <v>-36425</v>
      </c>
      <c r="V12" s="19">
        <v>-29737</v>
      </c>
      <c r="W12" s="19">
        <v>-15318</v>
      </c>
      <c r="X12" s="19">
        <v>-95020</v>
      </c>
      <c r="Y12" s="19">
        <v>-69146</v>
      </c>
      <c r="Z12" s="19">
        <v>-35692</v>
      </c>
      <c r="AA12" s="19">
        <v>-14172</v>
      </c>
      <c r="AB12" s="19">
        <v>-55540</v>
      </c>
      <c r="AC12" s="19">
        <v>-60490</v>
      </c>
      <c r="AD12" s="19">
        <v>-28569</v>
      </c>
      <c r="AE12" s="19">
        <v>-13885</v>
      </c>
    </row>
    <row r="13" spans="1:31" x14ac:dyDescent="0.25">
      <c r="A13" s="58" t="s">
        <v>92</v>
      </c>
      <c r="B13" s="170">
        <v>4550</v>
      </c>
      <c r="C13" s="27">
        <v>2275</v>
      </c>
      <c r="D13" s="27">
        <v>9100</v>
      </c>
      <c r="E13" s="27">
        <v>6825</v>
      </c>
      <c r="F13" s="27">
        <v>4550</v>
      </c>
      <c r="G13" s="27">
        <v>2275</v>
      </c>
      <c r="H13" s="27">
        <v>9100</v>
      </c>
      <c r="I13" s="27">
        <v>6825</v>
      </c>
      <c r="J13" s="27">
        <v>4550</v>
      </c>
      <c r="K13" s="27">
        <v>2275</v>
      </c>
      <c r="L13" s="27">
        <v>9100</v>
      </c>
      <c r="M13" s="27">
        <v>6825</v>
      </c>
      <c r="N13" s="27">
        <v>4550</v>
      </c>
      <c r="O13" s="27">
        <v>2275</v>
      </c>
      <c r="P13" s="27">
        <v>9100</v>
      </c>
      <c r="Q13" s="27">
        <v>6825</v>
      </c>
      <c r="R13" s="27">
        <v>4550</v>
      </c>
      <c r="S13" s="27">
        <v>2275</v>
      </c>
      <c r="T13" s="27">
        <v>9100</v>
      </c>
      <c r="U13" s="27">
        <v>6825</v>
      </c>
      <c r="V13" s="27">
        <v>4550</v>
      </c>
      <c r="W13" s="27">
        <v>2275</v>
      </c>
      <c r="X13" s="27">
        <v>9100</v>
      </c>
      <c r="Y13" s="27">
        <v>6825</v>
      </c>
      <c r="Z13" s="27">
        <v>4550</v>
      </c>
      <c r="AA13" s="27">
        <v>2275</v>
      </c>
      <c r="AB13" s="27">
        <v>9100</v>
      </c>
      <c r="AC13" s="27">
        <v>6825</v>
      </c>
      <c r="AD13" s="27">
        <v>4550</v>
      </c>
      <c r="AE13" s="27">
        <v>2275</v>
      </c>
    </row>
    <row r="14" spans="1:31" x14ac:dyDescent="0.25">
      <c r="A14" s="60" t="s">
        <v>91</v>
      </c>
      <c r="B14" s="167">
        <v>1370</v>
      </c>
      <c r="C14" s="19">
        <v>697</v>
      </c>
      <c r="D14" s="19">
        <v>2773</v>
      </c>
      <c r="E14" s="19">
        <v>2098</v>
      </c>
      <c r="F14" s="19">
        <v>1723</v>
      </c>
      <c r="G14" s="19">
        <v>630</v>
      </c>
      <c r="H14" s="19">
        <v>2367</v>
      </c>
      <c r="I14" s="19">
        <v>1831</v>
      </c>
      <c r="J14" s="19">
        <v>1204</v>
      </c>
      <c r="K14" s="19">
        <v>559</v>
      </c>
      <c r="L14" s="19">
        <v>2353</v>
      </c>
      <c r="M14" s="19">
        <v>1771</v>
      </c>
      <c r="N14" s="19">
        <v>1182</v>
      </c>
      <c r="O14" s="19">
        <v>591</v>
      </c>
      <c r="P14" s="19">
        <v>2298</v>
      </c>
      <c r="Q14" s="19">
        <v>1835</v>
      </c>
      <c r="R14" s="19">
        <v>1141</v>
      </c>
      <c r="S14" s="19">
        <v>573</v>
      </c>
      <c r="T14" s="19">
        <v>2425</v>
      </c>
      <c r="U14" s="19">
        <v>1921</v>
      </c>
      <c r="V14" s="19">
        <v>1272</v>
      </c>
      <c r="W14" s="19">
        <v>483</v>
      </c>
      <c r="X14" s="19">
        <v>1763</v>
      </c>
      <c r="Y14" s="19">
        <v>1353</v>
      </c>
      <c r="Z14" s="19">
        <v>872</v>
      </c>
      <c r="AA14" s="19">
        <v>455</v>
      </c>
      <c r="AB14" s="19">
        <v>2167</v>
      </c>
      <c r="AC14" s="19">
        <v>1724</v>
      </c>
      <c r="AD14" s="19">
        <v>1076</v>
      </c>
      <c r="AE14" s="19">
        <v>527</v>
      </c>
    </row>
    <row r="15" spans="1:31" x14ac:dyDescent="0.25">
      <c r="A15" s="58" t="s">
        <v>160</v>
      </c>
      <c r="B15" s="170">
        <v>2955</v>
      </c>
      <c r="C15" s="27">
        <v>980</v>
      </c>
      <c r="D15" s="27">
        <v>21025</v>
      </c>
      <c r="E15" s="27">
        <v>19549</v>
      </c>
      <c r="F15" s="27">
        <v>25091</v>
      </c>
      <c r="G15" s="27">
        <v>2128</v>
      </c>
      <c r="H15" s="27">
        <v>36696</v>
      </c>
      <c r="I15" s="27">
        <v>33123</v>
      </c>
      <c r="J15" s="27">
        <v>27832</v>
      </c>
      <c r="K15" s="27">
        <v>22290</v>
      </c>
      <c r="L15" s="27">
        <v>62569</v>
      </c>
      <c r="M15" s="27">
        <v>4531</v>
      </c>
      <c r="N15" s="27">
        <v>2803</v>
      </c>
      <c r="O15" s="27">
        <v>1251</v>
      </c>
      <c r="P15" s="27">
        <v>18458</v>
      </c>
      <c r="Q15" s="27">
        <v>11359</v>
      </c>
      <c r="R15" s="27">
        <v>9103</v>
      </c>
      <c r="S15" s="27">
        <v>7479</v>
      </c>
      <c r="T15" s="27">
        <v>31992</v>
      </c>
      <c r="U15" s="27">
        <v>26907</v>
      </c>
      <c r="V15" s="27">
        <v>5788</v>
      </c>
      <c r="W15" s="27">
        <v>2271</v>
      </c>
      <c r="X15" s="27">
        <v>13543</v>
      </c>
      <c r="Y15" s="27">
        <v>1831</v>
      </c>
      <c r="Z15" s="27">
        <v>1127</v>
      </c>
      <c r="AA15" s="27">
        <v>567</v>
      </c>
      <c r="AB15" s="27">
        <v>2765</v>
      </c>
      <c r="AC15" s="27">
        <v>2088</v>
      </c>
      <c r="AD15" s="27">
        <v>1506</v>
      </c>
      <c r="AE15" s="27">
        <v>826</v>
      </c>
    </row>
    <row r="16" spans="1:31" ht="13.5" customHeight="1" x14ac:dyDescent="0.25">
      <c r="A16" s="25" t="s">
        <v>161</v>
      </c>
      <c r="B16" s="168">
        <f t="shared" ref="B16" si="13">SUM(B17:B22)</f>
        <v>-871095</v>
      </c>
      <c r="C16" s="21">
        <f t="shared" ref="C16:G16" si="14">SUM(C17:C22)</f>
        <v>-375506</v>
      </c>
      <c r="D16" s="21">
        <f t="shared" si="14"/>
        <v>-1647097</v>
      </c>
      <c r="E16" s="21">
        <f t="shared" si="14"/>
        <v>-1147370</v>
      </c>
      <c r="F16" s="21">
        <f t="shared" si="14"/>
        <v>-721453</v>
      </c>
      <c r="G16" s="21">
        <f t="shared" si="14"/>
        <v>-322047</v>
      </c>
      <c r="H16" s="21">
        <f t="shared" ref="H16:I16" si="15">SUM(H17:H22)</f>
        <v>-1549832</v>
      </c>
      <c r="I16" s="21">
        <f t="shared" si="15"/>
        <v>-1181440</v>
      </c>
      <c r="J16" s="21">
        <f t="shared" ref="J16:K16" si="16">SUM(J17:J22)</f>
        <v>-765614</v>
      </c>
      <c r="K16" s="21">
        <f t="shared" si="16"/>
        <v>-385705</v>
      </c>
      <c r="L16" s="21">
        <f t="shared" ref="L16:M16" si="17">SUM(L17:L22)</f>
        <v>-1245257</v>
      </c>
      <c r="M16" s="21">
        <f t="shared" si="17"/>
        <v>-814790</v>
      </c>
      <c r="N16" s="21">
        <f t="shared" ref="N16" si="18">SUM(N17:N22)</f>
        <v>-535441</v>
      </c>
      <c r="O16" s="21">
        <f t="shared" ref="O16" si="19">SUM(O17:O22)</f>
        <v>-244699</v>
      </c>
      <c r="P16" s="21">
        <f t="shared" ref="P16" si="20">SUM(P17:P22)</f>
        <v>-1042838</v>
      </c>
      <c r="Q16" s="21">
        <f t="shared" ref="Q16" si="21">SUM(Q17:Q22)</f>
        <v>-765932</v>
      </c>
      <c r="R16" s="21">
        <f t="shared" ref="R16" si="22">SUM(R17:R22)</f>
        <v>-465334</v>
      </c>
      <c r="S16" s="21">
        <f t="shared" ref="S16:AB16" si="23">SUM(S17:S22)</f>
        <v>-219555</v>
      </c>
      <c r="T16" s="21">
        <f t="shared" ref="T16" si="24">SUM(T17:T22)</f>
        <v>-784145</v>
      </c>
      <c r="U16" s="21">
        <f t="shared" si="23"/>
        <v>-552665</v>
      </c>
      <c r="V16" s="21">
        <f t="shared" si="23"/>
        <v>-335723</v>
      </c>
      <c r="W16" s="21">
        <f t="shared" ref="W16" si="25">SUM(W17:W22)</f>
        <v>-158330</v>
      </c>
      <c r="X16" s="21">
        <v>-749709</v>
      </c>
      <c r="Y16" s="21">
        <f t="shared" ref="Y16:AA16" si="26">SUM(Y17:Y22)</f>
        <v>-548902</v>
      </c>
      <c r="Z16" s="21">
        <f t="shared" si="26"/>
        <v>-360625</v>
      </c>
      <c r="AA16" s="21">
        <f t="shared" si="26"/>
        <v>-182176</v>
      </c>
      <c r="AB16" s="21">
        <f t="shared" si="23"/>
        <v>-746497</v>
      </c>
      <c r="AC16" s="21">
        <f t="shared" ref="AC16:AE16" si="27">SUM(AC17:AC22)</f>
        <v>-546879</v>
      </c>
      <c r="AD16" s="21">
        <f t="shared" si="27"/>
        <v>-342286</v>
      </c>
      <c r="AE16" s="21">
        <f t="shared" si="27"/>
        <v>-166498</v>
      </c>
    </row>
    <row r="17" spans="1:31" x14ac:dyDescent="0.25">
      <c r="A17" s="58" t="s">
        <v>162</v>
      </c>
      <c r="B17" s="170">
        <v>-298659</v>
      </c>
      <c r="C17" s="27">
        <v>-149293</v>
      </c>
      <c r="D17" s="27">
        <v>-604324</v>
      </c>
      <c r="E17" s="27">
        <v>-456162</v>
      </c>
      <c r="F17" s="27">
        <v>-286317</v>
      </c>
      <c r="G17" s="27">
        <v>-137028</v>
      </c>
      <c r="H17" s="27">
        <v>-557131</v>
      </c>
      <c r="I17" s="27">
        <v>-398106</v>
      </c>
      <c r="J17" s="27">
        <v>-261297</v>
      </c>
      <c r="K17" s="27">
        <v>-125878</v>
      </c>
      <c r="L17" s="27">
        <v>-468117</v>
      </c>
      <c r="M17" s="27">
        <v>-340324</v>
      </c>
      <c r="N17" s="27">
        <v>-223606</v>
      </c>
      <c r="O17" s="27">
        <v>-112194</v>
      </c>
      <c r="P17" s="27">
        <v>-466056</v>
      </c>
      <c r="Q17" s="27">
        <v>-355264</v>
      </c>
      <c r="R17" s="27">
        <v>-243670</v>
      </c>
      <c r="S17" s="27">
        <v>-127229</v>
      </c>
      <c r="T17" s="27">
        <v>-424141</v>
      </c>
      <c r="U17" s="27">
        <v>-301330</v>
      </c>
      <c r="V17" s="27">
        <v>-196872</v>
      </c>
      <c r="W17" s="27">
        <v>-101264</v>
      </c>
      <c r="X17" s="27">
        <v>-370146</v>
      </c>
      <c r="Y17" s="27">
        <v>-272777</v>
      </c>
      <c r="Z17" s="27">
        <v>-181208</v>
      </c>
      <c r="AA17" s="27">
        <v>-87765</v>
      </c>
      <c r="AB17" s="27">
        <v>-366120</v>
      </c>
      <c r="AC17" s="27">
        <v>-291921</v>
      </c>
      <c r="AD17" s="27">
        <v>-179949</v>
      </c>
      <c r="AE17" s="27">
        <v>-91650</v>
      </c>
    </row>
    <row r="18" spans="1:31" x14ac:dyDescent="0.25">
      <c r="A18" s="60" t="s">
        <v>163</v>
      </c>
      <c r="B18" s="167">
        <v>-8866</v>
      </c>
      <c r="C18" s="19">
        <v>-4072</v>
      </c>
      <c r="D18" s="19">
        <v>-17508</v>
      </c>
      <c r="E18" s="19">
        <v>-11490</v>
      </c>
      <c r="F18" s="19">
        <v>-7016</v>
      </c>
      <c r="G18" s="19">
        <v>-3429</v>
      </c>
      <c r="H18" s="19">
        <v>-14679</v>
      </c>
      <c r="I18" s="19">
        <v>-10742</v>
      </c>
      <c r="J18" s="19">
        <v>-6882</v>
      </c>
      <c r="K18" s="19">
        <v>-3478</v>
      </c>
      <c r="L18" s="19">
        <v>-10219</v>
      </c>
      <c r="M18" s="19">
        <v>-7369</v>
      </c>
      <c r="N18" s="19">
        <v>-4505</v>
      </c>
      <c r="O18" s="19">
        <v>-1959</v>
      </c>
      <c r="P18" s="19">
        <v>-5976</v>
      </c>
      <c r="Q18" s="19">
        <v>-4062</v>
      </c>
      <c r="R18" s="19">
        <v>-2528</v>
      </c>
      <c r="S18" s="19">
        <v>-1029</v>
      </c>
      <c r="T18" s="19">
        <v>-4212</v>
      </c>
      <c r="U18" s="19">
        <v>-2905</v>
      </c>
      <c r="V18" s="19">
        <v>-2077</v>
      </c>
      <c r="W18" s="19">
        <v>-1030</v>
      </c>
      <c r="X18" s="19">
        <v>-4693</v>
      </c>
      <c r="Y18" s="19">
        <v>-3877</v>
      </c>
      <c r="Z18" s="19">
        <v>-3167</v>
      </c>
      <c r="AA18" s="19">
        <v>-1741</v>
      </c>
      <c r="AB18" s="19">
        <v>-7966</v>
      </c>
      <c r="AC18" s="19">
        <v>-4254</v>
      </c>
      <c r="AD18" s="19">
        <v>-2385</v>
      </c>
      <c r="AE18" s="19">
        <v>-1221</v>
      </c>
    </row>
    <row r="19" spans="1:31" x14ac:dyDescent="0.25">
      <c r="A19" s="58" t="s">
        <v>164</v>
      </c>
      <c r="B19" s="170">
        <v>-160906</v>
      </c>
      <c r="C19" s="27">
        <v>-77252</v>
      </c>
      <c r="D19" s="27">
        <v>-302719</v>
      </c>
      <c r="E19" s="27">
        <v>-205578</v>
      </c>
      <c r="F19" s="27">
        <v>-138192</v>
      </c>
      <c r="G19" s="27">
        <v>-65888</v>
      </c>
      <c r="H19" s="27">
        <v>-266568</v>
      </c>
      <c r="I19" s="27">
        <v>-196667</v>
      </c>
      <c r="J19" s="27">
        <v>-132940</v>
      </c>
      <c r="K19" s="27">
        <v>-63502</v>
      </c>
      <c r="L19" s="27">
        <v>-246502</v>
      </c>
      <c r="M19" s="27">
        <v>-175919</v>
      </c>
      <c r="N19" s="27">
        <v>-120013</v>
      </c>
      <c r="O19" s="27">
        <v>-55487</v>
      </c>
      <c r="P19" s="27">
        <v>-252831</v>
      </c>
      <c r="Q19" s="27">
        <v>-187953</v>
      </c>
      <c r="R19" s="27">
        <v>-124818</v>
      </c>
      <c r="S19" s="27">
        <v>-66453</v>
      </c>
      <c r="T19" s="27">
        <v>-227785</v>
      </c>
      <c r="U19" s="27">
        <v>-154465</v>
      </c>
      <c r="V19" s="27">
        <v>-102621</v>
      </c>
      <c r="W19" s="27">
        <v>-46297</v>
      </c>
      <c r="X19" s="27">
        <v>-196980</v>
      </c>
      <c r="Y19" s="27">
        <v>-145487</v>
      </c>
      <c r="Z19" s="27">
        <v>-95605</v>
      </c>
      <c r="AA19" s="27">
        <v>-49819</v>
      </c>
      <c r="AB19" s="27">
        <v>-190802</v>
      </c>
      <c r="AC19" s="27">
        <v>-123176</v>
      </c>
      <c r="AD19" s="27">
        <v>-81457</v>
      </c>
      <c r="AE19" s="27">
        <v>-42183</v>
      </c>
    </row>
    <row r="20" spans="1:31" x14ac:dyDescent="0.25">
      <c r="A20" s="60" t="s">
        <v>165</v>
      </c>
      <c r="B20" s="167">
        <v>-328087</v>
      </c>
      <c r="C20" s="19">
        <v>-129277</v>
      </c>
      <c r="D20" s="19">
        <v>-632543</v>
      </c>
      <c r="E20" s="19">
        <v>-388745</v>
      </c>
      <c r="F20" s="19">
        <v>-221317</v>
      </c>
      <c r="G20" s="19">
        <v>-102597</v>
      </c>
      <c r="H20" s="19">
        <v>-547090</v>
      </c>
      <c r="I20" s="19">
        <v>-436227</v>
      </c>
      <c r="J20" s="19">
        <v>-306698</v>
      </c>
      <c r="K20" s="19">
        <v>-189412</v>
      </c>
      <c r="L20" s="19">
        <v>-413413</v>
      </c>
      <c r="M20" s="19">
        <v>-241884</v>
      </c>
      <c r="N20" s="19">
        <v>-148802</v>
      </c>
      <c r="O20" s="19">
        <v>-71166</v>
      </c>
      <c r="P20" s="19">
        <v>-286463</v>
      </c>
      <c r="Q20" s="19">
        <v>-189115</v>
      </c>
      <c r="R20" s="19">
        <v>-92721</v>
      </c>
      <c r="S20" s="19">
        <v>-24237</v>
      </c>
      <c r="T20" s="19">
        <v>-99395</v>
      </c>
      <c r="U20" s="19">
        <v>-70412</v>
      </c>
      <c r="V20" s="19">
        <v>-46745</v>
      </c>
      <c r="W20" s="19">
        <v>-22519</v>
      </c>
      <c r="X20" s="19">
        <v>-169996</v>
      </c>
      <c r="Y20" s="19">
        <v>-128823</v>
      </c>
      <c r="Z20" s="19">
        <v>-76904</v>
      </c>
      <c r="AA20" s="19">
        <v>-29290</v>
      </c>
      <c r="AB20" s="19">
        <v>-144307</v>
      </c>
      <c r="AC20" s="19">
        <v>-117742</v>
      </c>
      <c r="AD20" s="19">
        <v>-77303</v>
      </c>
      <c r="AE20" s="19">
        <v>-32415</v>
      </c>
    </row>
    <row r="21" spans="1:31" x14ac:dyDescent="0.25">
      <c r="A21" s="58" t="s">
        <v>166</v>
      </c>
      <c r="B21" s="170">
        <v>-158</v>
      </c>
      <c r="C21" s="27">
        <v>-375</v>
      </c>
      <c r="D21" s="27">
        <v>-575</v>
      </c>
      <c r="E21" s="27">
        <v>-325</v>
      </c>
      <c r="F21" s="27">
        <v>-221</v>
      </c>
      <c r="G21" s="27">
        <v>-28</v>
      </c>
      <c r="H21" s="27">
        <v>-399</v>
      </c>
      <c r="I21" s="27">
        <v>-43</v>
      </c>
      <c r="J21" s="27">
        <v>-120</v>
      </c>
      <c r="K21" s="27">
        <v>-72</v>
      </c>
      <c r="L21" s="27">
        <v>3013</v>
      </c>
      <c r="M21" s="27">
        <v>3149</v>
      </c>
      <c r="N21" s="27">
        <v>2346</v>
      </c>
      <c r="O21" s="27">
        <v>-120</v>
      </c>
      <c r="P21" s="27">
        <v>4254</v>
      </c>
      <c r="Q21" s="27">
        <v>5952</v>
      </c>
      <c r="R21" s="27">
        <v>6407</v>
      </c>
      <c r="S21" s="27">
        <v>6994</v>
      </c>
      <c r="T21" s="27">
        <v>11046</v>
      </c>
      <c r="U21" s="27">
        <v>14986</v>
      </c>
      <c r="V21" s="27">
        <v>15200</v>
      </c>
      <c r="W21" s="27">
        <v>16286</v>
      </c>
      <c r="X21" s="27">
        <v>10203</v>
      </c>
      <c r="Y21" s="27">
        <v>10945</v>
      </c>
      <c r="Z21" s="27">
        <v>3494</v>
      </c>
      <c r="AA21" s="27">
        <v>-5962</v>
      </c>
      <c r="AB21" s="27">
        <v>-9257</v>
      </c>
      <c r="AC21" s="27">
        <v>-9257</v>
      </c>
      <c r="AD21" s="27">
        <v>-763</v>
      </c>
      <c r="AE21" s="27">
        <v>209</v>
      </c>
    </row>
    <row r="22" spans="1:31" x14ac:dyDescent="0.25">
      <c r="A22" s="60" t="s">
        <v>167</v>
      </c>
      <c r="B22" s="167">
        <v>-74419</v>
      </c>
      <c r="C22" s="19">
        <v>-15237</v>
      </c>
      <c r="D22" s="19">
        <v>-89428</v>
      </c>
      <c r="E22" s="19">
        <v>-85070</v>
      </c>
      <c r="F22" s="19">
        <v>-68390</v>
      </c>
      <c r="G22" s="19">
        <v>-13077</v>
      </c>
      <c r="H22" s="19">
        <v>-163965</v>
      </c>
      <c r="I22" s="19">
        <v>-139655</v>
      </c>
      <c r="J22" s="19">
        <v>-57677</v>
      </c>
      <c r="K22" s="19">
        <v>-3363</v>
      </c>
      <c r="L22" s="19">
        <v>-110019</v>
      </c>
      <c r="M22" s="19">
        <v>-52443</v>
      </c>
      <c r="N22" s="19">
        <v>-40861</v>
      </c>
      <c r="O22" s="19">
        <v>-3773</v>
      </c>
      <c r="P22" s="19">
        <v>-35766</v>
      </c>
      <c r="Q22" s="19">
        <v>-35490</v>
      </c>
      <c r="R22" s="19">
        <v>-8004</v>
      </c>
      <c r="S22" s="19">
        <v>-7601</v>
      </c>
      <c r="T22" s="19">
        <v>-39658</v>
      </c>
      <c r="U22" s="19">
        <v>-38539</v>
      </c>
      <c r="V22" s="19">
        <v>-2608</v>
      </c>
      <c r="W22" s="19">
        <v>-3506</v>
      </c>
      <c r="X22" s="19">
        <v>-18097</v>
      </c>
      <c r="Y22" s="19">
        <v>-8883</v>
      </c>
      <c r="Z22" s="19">
        <v>-7235</v>
      </c>
      <c r="AA22" s="19">
        <v>-7599</v>
      </c>
      <c r="AB22" s="19">
        <v>-28045</v>
      </c>
      <c r="AC22" s="19">
        <v>-529</v>
      </c>
      <c r="AD22" s="19">
        <v>-429</v>
      </c>
      <c r="AE22" s="19">
        <v>762</v>
      </c>
    </row>
    <row r="23" spans="1:31" ht="12" customHeight="1" x14ac:dyDescent="0.25">
      <c r="A23" s="25" t="s">
        <v>168</v>
      </c>
      <c r="B23" s="168">
        <f t="shared" ref="B23" si="28">SUM(B8+B16)</f>
        <v>1389258</v>
      </c>
      <c r="C23" s="21">
        <f t="shared" ref="C23:G23" si="29">SUM(C8+C16)</f>
        <v>655909</v>
      </c>
      <c r="D23" s="21">
        <f t="shared" si="29"/>
        <v>2883681</v>
      </c>
      <c r="E23" s="21">
        <f t="shared" si="29"/>
        <v>2094413</v>
      </c>
      <c r="F23" s="21">
        <f t="shared" si="29"/>
        <v>1318271</v>
      </c>
      <c r="G23" s="21">
        <f t="shared" si="29"/>
        <v>640854</v>
      </c>
      <c r="H23" s="21">
        <f t="shared" ref="H23:I23" si="30">SUM(H8+H16)</f>
        <v>2649958</v>
      </c>
      <c r="I23" s="21">
        <f t="shared" si="30"/>
        <v>1969841</v>
      </c>
      <c r="J23" s="21">
        <f t="shared" ref="J23:K23" si="31">SUM(J8+J16)</f>
        <v>1282284</v>
      </c>
      <c r="K23" s="21">
        <f t="shared" si="31"/>
        <v>645872</v>
      </c>
      <c r="L23" s="21">
        <f t="shared" ref="L23:M23" si="32">SUM(L8+L16)</f>
        <v>2551005</v>
      </c>
      <c r="M23" s="21">
        <f t="shared" si="32"/>
        <v>1838164</v>
      </c>
      <c r="N23" s="21">
        <f t="shared" ref="N23" si="33">SUM(N8+N16)</f>
        <v>1148100</v>
      </c>
      <c r="O23" s="21">
        <f t="shared" ref="O23" si="34">SUM(O8+O16)</f>
        <v>543045</v>
      </c>
      <c r="P23" s="21">
        <f t="shared" ref="P23" si="35">SUM(P8+P16)</f>
        <v>2261505</v>
      </c>
      <c r="Q23" s="21">
        <f t="shared" ref="Q23" si="36">SUM(Q8+Q16)</f>
        <v>1676591</v>
      </c>
      <c r="R23" s="21">
        <f t="shared" ref="R23" si="37">SUM(R8+R16)</f>
        <v>1077177</v>
      </c>
      <c r="S23" s="21">
        <f t="shared" ref="S23:AB23" si="38">SUM(S8+S16)</f>
        <v>496004</v>
      </c>
      <c r="T23" s="21">
        <f t="shared" ref="T23" si="39">SUM(T8+T16)</f>
        <v>2107994</v>
      </c>
      <c r="U23" s="21">
        <f t="shared" si="38"/>
        <v>1508463</v>
      </c>
      <c r="V23" s="21">
        <f t="shared" si="38"/>
        <v>978015</v>
      </c>
      <c r="W23" s="21">
        <f t="shared" ref="W23" si="40">SUM(W8+W16)</f>
        <v>483608</v>
      </c>
      <c r="X23" s="21">
        <f>SUM(X8+X16)</f>
        <v>1974376</v>
      </c>
      <c r="Y23" s="21">
        <f t="shared" ref="Y23:AA23" si="41">SUM(Y8+Y16)</f>
        <v>1431026</v>
      </c>
      <c r="Z23" s="21">
        <f t="shared" si="41"/>
        <v>911138</v>
      </c>
      <c r="AA23" s="21">
        <f t="shared" si="41"/>
        <v>447865</v>
      </c>
      <c r="AB23" s="21">
        <f t="shared" si="38"/>
        <v>1853299</v>
      </c>
      <c r="AC23" s="21">
        <f t="shared" ref="AC23:AE23" si="42">SUM(AC8+AC16)</f>
        <v>1305830</v>
      </c>
      <c r="AD23" s="21">
        <f t="shared" si="42"/>
        <v>849069</v>
      </c>
      <c r="AE23" s="21">
        <f t="shared" si="42"/>
        <v>402377</v>
      </c>
    </row>
    <row r="24" spans="1:31" x14ac:dyDescent="0.25">
      <c r="A24" s="58"/>
      <c r="B24" s="58"/>
      <c r="C24" s="58"/>
      <c r="D24" s="58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ht="12" customHeight="1" x14ac:dyDescent="0.25">
      <c r="A25" s="25" t="s">
        <v>169</v>
      </c>
      <c r="B25" s="168">
        <f t="shared" ref="B25" si="43">SUM(B26:B27)</f>
        <v>-80918</v>
      </c>
      <c r="C25" s="21">
        <f t="shared" ref="C25:G25" si="44">SUM(C26:C27)</f>
        <v>-51168</v>
      </c>
      <c r="D25" s="21">
        <f t="shared" si="44"/>
        <v>-215827</v>
      </c>
      <c r="E25" s="21">
        <f t="shared" si="44"/>
        <v>-135011</v>
      </c>
      <c r="F25" s="21">
        <f t="shared" si="44"/>
        <v>-82259</v>
      </c>
      <c r="G25" s="21">
        <f t="shared" si="44"/>
        <v>-57359</v>
      </c>
      <c r="H25" s="21">
        <f t="shared" ref="H25:I25" si="45">SUM(H26:H27)</f>
        <v>-134853</v>
      </c>
      <c r="I25" s="21">
        <f t="shared" si="45"/>
        <v>-112524</v>
      </c>
      <c r="J25" s="21">
        <f t="shared" ref="J25:K25" si="46">SUM(J26:J27)</f>
        <v>-58848</v>
      </c>
      <c r="K25" s="21">
        <f t="shared" si="46"/>
        <v>-42990</v>
      </c>
      <c r="L25" s="21">
        <f t="shared" ref="L25:M25" si="47">SUM(L26:L27)</f>
        <v>-163949</v>
      </c>
      <c r="M25" s="21">
        <f t="shared" si="47"/>
        <v>-125243</v>
      </c>
      <c r="N25" s="21">
        <f t="shared" ref="N25" si="48">SUM(N26:N27)</f>
        <v>-66725</v>
      </c>
      <c r="O25" s="21">
        <f t="shared" ref="O25" si="49">SUM(O26:O27)</f>
        <v>8603</v>
      </c>
      <c r="P25" s="21">
        <f t="shared" ref="P25" si="50">SUM(P26:P27)</f>
        <v>-142215</v>
      </c>
      <c r="Q25" s="21">
        <f t="shared" ref="Q25" si="51">SUM(Q26:Q27)</f>
        <v>-81005</v>
      </c>
      <c r="R25" s="21">
        <f t="shared" ref="R25" si="52">SUM(R26:R27)</f>
        <v>-42651</v>
      </c>
      <c r="S25" s="21">
        <f t="shared" ref="S25:AB25" si="53">SUM(S26:S27)</f>
        <v>-2805</v>
      </c>
      <c r="T25" s="21">
        <f t="shared" ref="T25" si="54">SUM(T26:T27)</f>
        <v>-218880</v>
      </c>
      <c r="U25" s="21">
        <f t="shared" si="53"/>
        <v>-166424</v>
      </c>
      <c r="V25" s="21">
        <f t="shared" si="53"/>
        <v>-169975</v>
      </c>
      <c r="W25" s="21">
        <f t="shared" ref="W25" si="55">SUM(W26:W27)</f>
        <v>-144713</v>
      </c>
      <c r="X25" s="21">
        <v>-165254</v>
      </c>
      <c r="Y25" s="21">
        <f t="shared" ref="Y25:AA25" si="56">SUM(Y26:Y27)</f>
        <v>-84166</v>
      </c>
      <c r="Z25" s="21">
        <f t="shared" si="56"/>
        <v>-59745</v>
      </c>
      <c r="AA25" s="21">
        <f t="shared" si="56"/>
        <v>-30847</v>
      </c>
      <c r="AB25" s="21">
        <f t="shared" si="53"/>
        <v>-132494</v>
      </c>
      <c r="AC25" s="21">
        <f t="shared" ref="AC25:AE25" si="57">SUM(AC26:AC27)</f>
        <v>-206587</v>
      </c>
      <c r="AD25" s="21">
        <f t="shared" si="57"/>
        <v>-162428</v>
      </c>
      <c r="AE25" s="21">
        <f t="shared" si="57"/>
        <v>-37994</v>
      </c>
    </row>
    <row r="26" spans="1:31" x14ac:dyDescent="0.25">
      <c r="A26" s="58" t="s">
        <v>170</v>
      </c>
      <c r="B26" s="170">
        <v>-128929</v>
      </c>
      <c r="C26" s="27">
        <v>-63994</v>
      </c>
      <c r="D26" s="27">
        <v>-223429</v>
      </c>
      <c r="E26" s="27">
        <v>-166638</v>
      </c>
      <c r="F26" s="27">
        <v>-109564</v>
      </c>
      <c r="G26" s="27">
        <v>-52378</v>
      </c>
      <c r="H26" s="27">
        <v>-192702</v>
      </c>
      <c r="I26" s="27">
        <v>-145146</v>
      </c>
      <c r="J26" s="27">
        <v>-95660</v>
      </c>
      <c r="K26" s="27">
        <v>-47302</v>
      </c>
      <c r="L26" s="27">
        <v>-179382</v>
      </c>
      <c r="M26" s="27">
        <v>-131704</v>
      </c>
      <c r="N26" s="27">
        <v>-85939</v>
      </c>
      <c r="O26" s="27">
        <v>-41937</v>
      </c>
      <c r="P26" s="27">
        <v>-145706</v>
      </c>
      <c r="Q26" s="27">
        <v>-105325</v>
      </c>
      <c r="R26" s="27">
        <v>-68251</v>
      </c>
      <c r="S26" s="27">
        <v>-33775</v>
      </c>
      <c r="T26" s="27">
        <v>-129708</v>
      </c>
      <c r="U26" s="27">
        <v>-100019</v>
      </c>
      <c r="V26" s="27">
        <v>-66386</v>
      </c>
      <c r="W26" s="27">
        <v>-33212</v>
      </c>
      <c r="X26" s="27">
        <v>-131982</v>
      </c>
      <c r="Y26" s="27">
        <v>-88491</v>
      </c>
      <c r="Z26" s="27">
        <v>-58845</v>
      </c>
      <c r="AA26" s="27">
        <v>-28783</v>
      </c>
      <c r="AB26" s="27">
        <v>-111152</v>
      </c>
      <c r="AC26" s="27">
        <v>-182324</v>
      </c>
      <c r="AD26" s="27">
        <v>-120004</v>
      </c>
      <c r="AE26" s="27">
        <v>-57992</v>
      </c>
    </row>
    <row r="27" spans="1:31" x14ac:dyDescent="0.25">
      <c r="A27" s="60" t="s">
        <v>171</v>
      </c>
      <c r="B27" s="167">
        <v>48011</v>
      </c>
      <c r="C27" s="19">
        <v>12826</v>
      </c>
      <c r="D27" s="19">
        <v>7602</v>
      </c>
      <c r="E27" s="19">
        <v>31627</v>
      </c>
      <c r="F27" s="19">
        <v>27305</v>
      </c>
      <c r="G27" s="19">
        <v>-4981</v>
      </c>
      <c r="H27" s="19">
        <v>57849</v>
      </c>
      <c r="I27" s="19">
        <v>32622</v>
      </c>
      <c r="J27" s="19">
        <v>36812</v>
      </c>
      <c r="K27" s="19">
        <v>4312</v>
      </c>
      <c r="L27" s="19">
        <v>15433</v>
      </c>
      <c r="M27" s="19">
        <v>6461</v>
      </c>
      <c r="N27" s="19">
        <v>19214</v>
      </c>
      <c r="O27" s="19">
        <v>50540</v>
      </c>
      <c r="P27" s="19">
        <v>3491</v>
      </c>
      <c r="Q27" s="19">
        <v>24320</v>
      </c>
      <c r="R27" s="19">
        <v>25600</v>
      </c>
      <c r="S27" s="19">
        <v>30970</v>
      </c>
      <c r="T27" s="19">
        <v>-89172</v>
      </c>
      <c r="U27" s="19">
        <v>-66405</v>
      </c>
      <c r="V27" s="19">
        <v>-103589</v>
      </c>
      <c r="W27" s="19">
        <v>-111501</v>
      </c>
      <c r="X27" s="19">
        <v>-33272</v>
      </c>
      <c r="Y27" s="19">
        <v>4325</v>
      </c>
      <c r="Z27" s="19">
        <v>-900</v>
      </c>
      <c r="AA27" s="19">
        <v>-2064</v>
      </c>
      <c r="AB27" s="19">
        <v>-21342</v>
      </c>
      <c r="AC27" s="19">
        <v>-24263</v>
      </c>
      <c r="AD27" s="19">
        <v>-42424</v>
      </c>
      <c r="AE27" s="19">
        <v>19998</v>
      </c>
    </row>
    <row r="28" spans="1:31" ht="12" customHeight="1" x14ac:dyDescent="0.25">
      <c r="A28" s="25" t="s">
        <v>172</v>
      </c>
      <c r="B28" s="168">
        <f t="shared" ref="B28" si="58">SUM(B23+B25)</f>
        <v>1308340</v>
      </c>
      <c r="C28" s="21">
        <f t="shared" ref="C28:D28" si="59">SUM(C23+C25)</f>
        <v>604741</v>
      </c>
      <c r="D28" s="21">
        <f t="shared" si="59"/>
        <v>2667854</v>
      </c>
      <c r="E28" s="21">
        <f>SUM(E23+E25)</f>
        <v>1959402</v>
      </c>
      <c r="F28" s="21">
        <f>SUM(F23+F25)</f>
        <v>1236012</v>
      </c>
      <c r="G28" s="21">
        <f>SUM(G23+G25)</f>
        <v>583495</v>
      </c>
      <c r="H28" s="21">
        <f t="shared" ref="H28:I28" si="60">SUM(H23+H25)</f>
        <v>2515105</v>
      </c>
      <c r="I28" s="21">
        <f t="shared" si="60"/>
        <v>1857317</v>
      </c>
      <c r="J28" s="21">
        <f t="shared" ref="J28:K28" si="61">SUM(J23+J25)</f>
        <v>1223436</v>
      </c>
      <c r="K28" s="21">
        <f t="shared" si="61"/>
        <v>602882</v>
      </c>
      <c r="L28" s="21">
        <f t="shared" ref="L28:M28" si="62">SUM(L23+L25)</f>
        <v>2387056</v>
      </c>
      <c r="M28" s="21">
        <f t="shared" si="62"/>
        <v>1712921</v>
      </c>
      <c r="N28" s="21">
        <f t="shared" ref="N28" si="63">SUM(N23+N25)</f>
        <v>1081375</v>
      </c>
      <c r="O28" s="21">
        <f t="shared" ref="O28" si="64">SUM(O23+O25)</f>
        <v>551648</v>
      </c>
      <c r="P28" s="21">
        <f t="shared" ref="P28" si="65">SUM(P23+P25)</f>
        <v>2119290</v>
      </c>
      <c r="Q28" s="21">
        <f t="shared" ref="Q28" si="66">SUM(Q23+Q25)</f>
        <v>1595586</v>
      </c>
      <c r="R28" s="21">
        <f t="shared" ref="R28" si="67">SUM(R23+R25)</f>
        <v>1034526</v>
      </c>
      <c r="S28" s="21">
        <f t="shared" ref="S28:AB28" si="68">SUM(S23+S25)</f>
        <v>493199</v>
      </c>
      <c r="T28" s="21">
        <f t="shared" ref="T28" si="69">SUM(T23+T25)</f>
        <v>1889114</v>
      </c>
      <c r="U28" s="21">
        <f t="shared" si="68"/>
        <v>1342039</v>
      </c>
      <c r="V28" s="21">
        <f t="shared" si="68"/>
        <v>808040</v>
      </c>
      <c r="W28" s="21">
        <f t="shared" ref="W28" si="70">SUM(W23+W25)</f>
        <v>338895</v>
      </c>
      <c r="X28" s="21">
        <f t="shared" si="68"/>
        <v>1809122</v>
      </c>
      <c r="Y28" s="21">
        <f t="shared" ref="Y28:AA28" si="71">SUM(Y23+Y25)</f>
        <v>1346860</v>
      </c>
      <c r="Z28" s="21">
        <f t="shared" si="71"/>
        <v>851393</v>
      </c>
      <c r="AA28" s="21">
        <f t="shared" si="71"/>
        <v>417018</v>
      </c>
      <c r="AB28" s="21">
        <f t="shared" si="68"/>
        <v>1720805</v>
      </c>
      <c r="AC28" s="21">
        <f t="shared" ref="AC28:AE28" si="72">SUM(AC23+AC25)</f>
        <v>1099243</v>
      </c>
      <c r="AD28" s="21">
        <f t="shared" si="72"/>
        <v>686641</v>
      </c>
      <c r="AE28" s="21">
        <f t="shared" si="72"/>
        <v>364383</v>
      </c>
    </row>
    <row r="29" spans="1:31" x14ac:dyDescent="0.25">
      <c r="A29" s="58"/>
      <c r="B29" s="58"/>
      <c r="C29" s="58"/>
      <c r="D29" s="58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ht="12" customHeight="1" x14ac:dyDescent="0.25">
      <c r="A30" s="25" t="s">
        <v>173</v>
      </c>
      <c r="B30" s="168">
        <f t="shared" ref="B30" si="73">B31</f>
        <v>96989</v>
      </c>
      <c r="C30" s="21">
        <f t="shared" ref="C30:N30" si="74">C31</f>
        <v>45273</v>
      </c>
      <c r="D30" s="21">
        <f t="shared" si="74"/>
        <v>202550</v>
      </c>
      <c r="E30" s="21">
        <f t="shared" si="74"/>
        <v>149812</v>
      </c>
      <c r="F30" s="21">
        <f t="shared" si="74"/>
        <v>93591</v>
      </c>
      <c r="G30" s="21">
        <f t="shared" si="74"/>
        <v>42920</v>
      </c>
      <c r="H30" s="21">
        <f t="shared" si="74"/>
        <v>166455</v>
      </c>
      <c r="I30" s="21">
        <f t="shared" si="74"/>
        <v>115873</v>
      </c>
      <c r="J30" s="21">
        <f t="shared" si="74"/>
        <v>67385</v>
      </c>
      <c r="K30" s="21">
        <f t="shared" si="74"/>
        <v>34398</v>
      </c>
      <c r="L30" s="21">
        <f t="shared" si="74"/>
        <v>145208</v>
      </c>
      <c r="M30" s="21">
        <f t="shared" si="74"/>
        <v>103092</v>
      </c>
      <c r="N30" s="21">
        <f t="shared" si="74"/>
        <v>66545</v>
      </c>
      <c r="O30" s="21">
        <f t="shared" ref="O30:AE30" si="75">O31</f>
        <v>31786</v>
      </c>
      <c r="P30" s="21">
        <f t="shared" si="75"/>
        <v>140467</v>
      </c>
      <c r="Q30" s="21">
        <f t="shared" si="75"/>
        <v>102668</v>
      </c>
      <c r="R30" s="21">
        <f t="shared" si="75"/>
        <v>64477</v>
      </c>
      <c r="S30" s="21">
        <f t="shared" si="75"/>
        <v>37664</v>
      </c>
      <c r="T30" s="21">
        <f t="shared" si="75"/>
        <v>119123</v>
      </c>
      <c r="U30" s="21">
        <f t="shared" si="75"/>
        <v>95194</v>
      </c>
      <c r="V30" s="21">
        <f t="shared" si="75"/>
        <v>55734</v>
      </c>
      <c r="W30" s="21">
        <f t="shared" si="75"/>
        <v>27864</v>
      </c>
      <c r="X30" s="21">
        <v>70368</v>
      </c>
      <c r="Y30" s="21">
        <f t="shared" si="75"/>
        <v>51993</v>
      </c>
      <c r="Z30" s="21">
        <f t="shared" si="75"/>
        <v>32119</v>
      </c>
      <c r="AA30" s="21">
        <f t="shared" si="75"/>
        <v>17698</v>
      </c>
      <c r="AB30" s="21">
        <f t="shared" si="75"/>
        <v>72412</v>
      </c>
      <c r="AC30" s="21">
        <f t="shared" si="75"/>
        <v>54555</v>
      </c>
      <c r="AD30" s="21">
        <f t="shared" si="75"/>
        <v>36732</v>
      </c>
      <c r="AE30" s="21">
        <f t="shared" si="75"/>
        <v>15244</v>
      </c>
    </row>
    <row r="31" spans="1:31" x14ac:dyDescent="0.25">
      <c r="A31" s="58" t="s">
        <v>174</v>
      </c>
      <c r="B31" s="170">
        <v>96989</v>
      </c>
      <c r="C31" s="27">
        <v>45273</v>
      </c>
      <c r="D31" s="27">
        <v>202550</v>
      </c>
      <c r="E31" s="27">
        <v>149812</v>
      </c>
      <c r="F31" s="27">
        <v>93591</v>
      </c>
      <c r="G31" s="27">
        <v>42920</v>
      </c>
      <c r="H31" s="27">
        <v>166455</v>
      </c>
      <c r="I31" s="27">
        <v>115873</v>
      </c>
      <c r="J31" s="27">
        <v>67385</v>
      </c>
      <c r="K31" s="27">
        <v>34398</v>
      </c>
      <c r="L31" s="27">
        <v>145208</v>
      </c>
      <c r="M31" s="27">
        <v>103092</v>
      </c>
      <c r="N31" s="27">
        <v>66545</v>
      </c>
      <c r="O31" s="27">
        <v>31786</v>
      </c>
      <c r="P31" s="27">
        <v>140467</v>
      </c>
      <c r="Q31" s="27">
        <v>102668</v>
      </c>
      <c r="R31" s="27">
        <v>64477</v>
      </c>
      <c r="S31" s="27">
        <v>37664</v>
      </c>
      <c r="T31" s="27">
        <v>119123</v>
      </c>
      <c r="U31" s="27">
        <v>95194</v>
      </c>
      <c r="V31" s="27">
        <v>55734</v>
      </c>
      <c r="W31" s="27">
        <v>27864</v>
      </c>
      <c r="X31" s="27">
        <v>70368</v>
      </c>
      <c r="Y31" s="27">
        <v>51993</v>
      </c>
      <c r="Z31" s="27">
        <v>32119</v>
      </c>
      <c r="AA31" s="27">
        <v>17698</v>
      </c>
      <c r="AB31" s="27">
        <f>VLOOKUP(A31,[1]DVA!$B$10:$E$61,4,0)</f>
        <v>72412</v>
      </c>
      <c r="AC31" s="27">
        <v>54555</v>
      </c>
      <c r="AD31" s="27">
        <v>36732</v>
      </c>
      <c r="AE31" s="27">
        <v>15244</v>
      </c>
    </row>
    <row r="32" spans="1:31" s="110" customFormat="1" ht="12" customHeight="1" x14ac:dyDescent="0.25">
      <c r="A32" s="108" t="s">
        <v>175</v>
      </c>
      <c r="B32" s="176">
        <f t="shared" ref="B32" si="76">SUM(B28+B30)</f>
        <v>1405329</v>
      </c>
      <c r="C32" s="109">
        <f>SUM(C28+C30)</f>
        <v>650014</v>
      </c>
      <c r="D32" s="109">
        <f>SUM(D28+D30)</f>
        <v>2870404</v>
      </c>
      <c r="E32" s="109">
        <f>SUM(E28+E30)</f>
        <v>2109214</v>
      </c>
      <c r="F32" s="109">
        <f>SUM(F28+F30)</f>
        <v>1329603</v>
      </c>
      <c r="G32" s="109">
        <f>SUM(G28+G30)</f>
        <v>626415</v>
      </c>
      <c r="H32" s="109">
        <f t="shared" ref="H32:I32" si="77">SUM(H28+H30)</f>
        <v>2681560</v>
      </c>
      <c r="I32" s="109">
        <f t="shared" si="77"/>
        <v>1973190</v>
      </c>
      <c r="J32" s="109">
        <f t="shared" ref="J32:K32" si="78">SUM(J28+J30)</f>
        <v>1290821</v>
      </c>
      <c r="K32" s="109">
        <f t="shared" si="78"/>
        <v>637280</v>
      </c>
      <c r="L32" s="109">
        <f t="shared" ref="L32:M32" si="79">SUM(L28+L30)</f>
        <v>2532264</v>
      </c>
      <c r="M32" s="109">
        <f t="shared" si="79"/>
        <v>1816013</v>
      </c>
      <c r="N32" s="109">
        <f t="shared" ref="N32" si="80">SUM(N28+N30)</f>
        <v>1147920</v>
      </c>
      <c r="O32" s="109">
        <f t="shared" ref="O32" si="81">SUM(O28+O30)</f>
        <v>583434</v>
      </c>
      <c r="P32" s="109">
        <f t="shared" ref="P32" si="82">SUM(P28+P30)</f>
        <v>2259757</v>
      </c>
      <c r="Q32" s="109">
        <f t="shared" ref="Q32" si="83">SUM(Q28+Q30)</f>
        <v>1698254</v>
      </c>
      <c r="R32" s="109">
        <f t="shared" ref="R32" si="84">SUM(R28+R30)</f>
        <v>1099003</v>
      </c>
      <c r="S32" s="109">
        <f t="shared" ref="S32:AB32" si="85">SUM(S28+S30)</f>
        <v>530863</v>
      </c>
      <c r="T32" s="109">
        <f t="shared" ref="T32" si="86">SUM(T28+T30)</f>
        <v>2008237</v>
      </c>
      <c r="U32" s="109">
        <f t="shared" si="85"/>
        <v>1437233</v>
      </c>
      <c r="V32" s="109">
        <f t="shared" si="85"/>
        <v>863774</v>
      </c>
      <c r="W32" s="109">
        <f t="shared" ref="W32" si="87">SUM(W28+W30)</f>
        <v>366759</v>
      </c>
      <c r="X32" s="109">
        <f>SUM(X28+X30)</f>
        <v>1879490</v>
      </c>
      <c r="Y32" s="109">
        <f t="shared" ref="Y32:AA32" si="88">SUM(Y28+Y30)</f>
        <v>1398853</v>
      </c>
      <c r="Z32" s="109">
        <f t="shared" si="88"/>
        <v>883512</v>
      </c>
      <c r="AA32" s="109">
        <f t="shared" si="88"/>
        <v>434716</v>
      </c>
      <c r="AB32" s="109">
        <f t="shared" si="85"/>
        <v>1793217</v>
      </c>
      <c r="AC32" s="109">
        <f t="shared" ref="AC32:AE32" si="89">SUM(AC28+AC30)</f>
        <v>1153798</v>
      </c>
      <c r="AD32" s="109">
        <f t="shared" si="89"/>
        <v>723373</v>
      </c>
      <c r="AE32" s="109">
        <f t="shared" si="89"/>
        <v>379627</v>
      </c>
    </row>
    <row r="33" spans="1:31" s="110" customFormat="1" ht="15.75" x14ac:dyDescent="0.25">
      <c r="A33" s="111"/>
      <c r="B33" s="111"/>
      <c r="C33" s="111"/>
      <c r="D33" s="111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</row>
    <row r="34" spans="1:31" s="110" customFormat="1" ht="12" customHeight="1" x14ac:dyDescent="0.25">
      <c r="A34" s="108" t="s">
        <v>176</v>
      </c>
      <c r="B34" s="176">
        <f t="shared" ref="B34" si="90">SUM(B36,B40,B45,B48)</f>
        <v>1405329</v>
      </c>
      <c r="C34" s="109">
        <f t="shared" ref="C34:G34" si="91">SUM(C36,C40,C45,C48)</f>
        <v>650014</v>
      </c>
      <c r="D34" s="109">
        <f t="shared" si="91"/>
        <v>2870404</v>
      </c>
      <c r="E34" s="109">
        <f t="shared" si="91"/>
        <v>2109214</v>
      </c>
      <c r="F34" s="109">
        <f t="shared" si="91"/>
        <v>1329603</v>
      </c>
      <c r="G34" s="109">
        <f t="shared" si="91"/>
        <v>626415</v>
      </c>
      <c r="H34" s="109">
        <f t="shared" ref="H34:I34" si="92">SUM(H36,H40,H45,H48)</f>
        <v>2681560</v>
      </c>
      <c r="I34" s="109">
        <f t="shared" si="92"/>
        <v>1973190</v>
      </c>
      <c r="J34" s="109">
        <f t="shared" ref="J34:K34" si="93">SUM(J36,J40,J45,J48)</f>
        <v>1290821</v>
      </c>
      <c r="K34" s="109">
        <f t="shared" si="93"/>
        <v>637280</v>
      </c>
      <c r="L34" s="109">
        <f t="shared" ref="L34:M34" si="94">SUM(L36,L40,L45,L48)</f>
        <v>2532264</v>
      </c>
      <c r="M34" s="109">
        <f t="shared" si="94"/>
        <v>1816013</v>
      </c>
      <c r="N34" s="109">
        <f t="shared" ref="N34" si="95">SUM(N36,N40,N45,N48)</f>
        <v>1147920</v>
      </c>
      <c r="O34" s="109">
        <f t="shared" ref="O34" si="96">SUM(O36,O40,O45,O48)</f>
        <v>583434</v>
      </c>
      <c r="P34" s="109">
        <f t="shared" ref="P34" si="97">SUM(P36,P40,P45,P48)</f>
        <v>2259757</v>
      </c>
      <c r="Q34" s="109">
        <f t="shared" ref="Q34" si="98">SUM(Q36,Q40,Q45,Q48)</f>
        <v>1698254</v>
      </c>
      <c r="R34" s="109">
        <f t="shared" ref="R34" si="99">SUM(R36,R40,R45,R48)</f>
        <v>1099003</v>
      </c>
      <c r="S34" s="109">
        <f t="shared" ref="S34:AB34" si="100">SUM(S36,S40,S45,S48)</f>
        <v>530863</v>
      </c>
      <c r="T34" s="109">
        <f t="shared" ref="T34" si="101">SUM(T36,T40,T45,T48)</f>
        <v>2008237</v>
      </c>
      <c r="U34" s="109">
        <f t="shared" si="100"/>
        <v>1437233</v>
      </c>
      <c r="V34" s="109">
        <f t="shared" si="100"/>
        <v>875684</v>
      </c>
      <c r="W34" s="109">
        <f t="shared" ref="W34" si="102">SUM(W36,W40,W45,W48)</f>
        <v>366759</v>
      </c>
      <c r="X34" s="109">
        <f>SUM(X36,X40,X45,X48)</f>
        <v>1879490</v>
      </c>
      <c r="Y34" s="109">
        <f t="shared" ref="Y34:AA34" si="103">SUM(Y36,Y40,Y45,Y48)</f>
        <v>1398853</v>
      </c>
      <c r="Z34" s="109">
        <f t="shared" si="103"/>
        <v>883512</v>
      </c>
      <c r="AA34" s="109">
        <f t="shared" si="103"/>
        <v>434716</v>
      </c>
      <c r="AB34" s="109">
        <f t="shared" si="100"/>
        <v>1793217</v>
      </c>
      <c r="AC34" s="109">
        <f t="shared" ref="AC34:AE34" si="104">SUM(AC36,AC40,AC45,AC48)</f>
        <v>1153798</v>
      </c>
      <c r="AD34" s="109">
        <f t="shared" si="104"/>
        <v>723373</v>
      </c>
      <c r="AE34" s="109">
        <f t="shared" si="104"/>
        <v>379627</v>
      </c>
    </row>
    <row r="35" spans="1:31" x14ac:dyDescent="0.25">
      <c r="A35" s="58"/>
      <c r="B35" s="58"/>
      <c r="C35" s="58"/>
      <c r="D35" s="58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ht="12" customHeight="1" x14ac:dyDescent="0.25">
      <c r="A36" s="25" t="s">
        <v>177</v>
      </c>
      <c r="B36" s="168">
        <f t="shared" ref="B36" si="105">SUM(B37:B39)</f>
        <v>603011</v>
      </c>
      <c r="C36" s="21">
        <f t="shared" ref="C36:G36" si="106">SUM(C37:C39)</f>
        <v>305852</v>
      </c>
      <c r="D36" s="21">
        <f t="shared" si="106"/>
        <v>1151208</v>
      </c>
      <c r="E36" s="21">
        <f t="shared" si="106"/>
        <v>849833</v>
      </c>
      <c r="F36" s="21">
        <f t="shared" si="106"/>
        <v>550005</v>
      </c>
      <c r="G36" s="21">
        <f t="shared" si="106"/>
        <v>264972</v>
      </c>
      <c r="H36" s="21">
        <f t="shared" ref="H36:I36" si="107">SUM(H37:H39)</f>
        <v>1067754</v>
      </c>
      <c r="I36" s="21">
        <f t="shared" si="107"/>
        <v>782201</v>
      </c>
      <c r="J36" s="21">
        <f t="shared" ref="J36:K36" si="108">SUM(J37:J39)</f>
        <v>522728</v>
      </c>
      <c r="K36" s="21">
        <f t="shared" si="108"/>
        <v>262354</v>
      </c>
      <c r="L36" s="21">
        <f t="shared" ref="L36:M36" si="109">SUM(L37:L39)</f>
        <v>988545</v>
      </c>
      <c r="M36" s="21">
        <f t="shared" si="109"/>
        <v>719052</v>
      </c>
      <c r="N36" s="21">
        <f t="shared" ref="N36" si="110">SUM(N37:N39)</f>
        <v>468476</v>
      </c>
      <c r="O36" s="21">
        <f t="shared" ref="O36" si="111">SUM(O37:O39)</f>
        <v>233025</v>
      </c>
      <c r="P36" s="21">
        <f t="shared" ref="P36" si="112">SUM(P37:P39)</f>
        <v>1055700</v>
      </c>
      <c r="Q36" s="21">
        <f t="shared" ref="Q36" si="113">SUM(Q37:Q39)</f>
        <v>816597</v>
      </c>
      <c r="R36" s="21">
        <f t="shared" ref="R36" si="114">SUM(R37:R39)</f>
        <v>583111</v>
      </c>
      <c r="S36" s="21">
        <f t="shared" ref="S36:AB36" si="115">SUM(S37:S39)</f>
        <v>349952</v>
      </c>
      <c r="T36" s="21">
        <f t="shared" ref="T36" si="116">SUM(T37:T39)</f>
        <v>916820</v>
      </c>
      <c r="U36" s="21">
        <f t="shared" si="115"/>
        <v>640678</v>
      </c>
      <c r="V36" s="21">
        <f t="shared" si="115"/>
        <v>428060</v>
      </c>
      <c r="W36" s="21">
        <f t="shared" ref="W36" si="117">SUM(W37:W39)</f>
        <v>212164</v>
      </c>
      <c r="X36" s="21">
        <f>SUM(X37:X39)</f>
        <v>848590</v>
      </c>
      <c r="Y36" s="21">
        <f t="shared" ref="Y36:AA36" si="118">SUM(Y37:Y39)</f>
        <v>617700</v>
      </c>
      <c r="Z36" s="21">
        <f t="shared" si="118"/>
        <v>405780</v>
      </c>
      <c r="AA36" s="21">
        <f t="shared" si="118"/>
        <v>203983</v>
      </c>
      <c r="AB36" s="21">
        <f t="shared" si="115"/>
        <v>841643</v>
      </c>
      <c r="AC36" s="21">
        <f t="shared" ref="AC36:AE36" si="119">SUM(AC37:AC39)</f>
        <v>626527</v>
      </c>
      <c r="AD36" s="21">
        <f t="shared" si="119"/>
        <v>384535</v>
      </c>
      <c r="AE36" s="21">
        <f t="shared" si="119"/>
        <v>194295</v>
      </c>
    </row>
    <row r="37" spans="1:31" x14ac:dyDescent="0.25">
      <c r="A37" s="58" t="s">
        <v>178</v>
      </c>
      <c r="B37" s="170">
        <v>457502</v>
      </c>
      <c r="C37" s="27">
        <v>233423</v>
      </c>
      <c r="D37" s="27">
        <v>859649</v>
      </c>
      <c r="E37" s="27">
        <v>646907</v>
      </c>
      <c r="F37" s="27">
        <v>415526</v>
      </c>
      <c r="G37" s="27">
        <v>197816</v>
      </c>
      <c r="H37" s="27">
        <v>795595</v>
      </c>
      <c r="I37" s="27">
        <v>586689</v>
      </c>
      <c r="J37" s="27">
        <v>393290</v>
      </c>
      <c r="K37" s="27">
        <v>196884</v>
      </c>
      <c r="L37" s="27">
        <v>731225</v>
      </c>
      <c r="M37" s="27">
        <v>532658</v>
      </c>
      <c r="N37" s="27">
        <v>345142</v>
      </c>
      <c r="O37" s="27">
        <v>171604</v>
      </c>
      <c r="P37" s="27">
        <v>806123</v>
      </c>
      <c r="Q37" s="27">
        <v>634516</v>
      </c>
      <c r="R37" s="27">
        <v>461189</v>
      </c>
      <c r="S37" s="27">
        <v>286735</v>
      </c>
      <c r="T37" s="27">
        <v>688320</v>
      </c>
      <c r="U37" s="27">
        <v>483504</v>
      </c>
      <c r="V37" s="27">
        <v>324147</v>
      </c>
      <c r="W37" s="27">
        <v>160854</v>
      </c>
      <c r="X37" s="27">
        <v>635641</v>
      </c>
      <c r="Y37" s="27">
        <v>466716</v>
      </c>
      <c r="Z37" s="27">
        <v>303666</v>
      </c>
      <c r="AA37" s="27">
        <v>151891</v>
      </c>
      <c r="AB37" s="27">
        <v>636358</v>
      </c>
      <c r="AC37" s="27">
        <v>477939</v>
      </c>
      <c r="AD37" s="27">
        <v>291203</v>
      </c>
      <c r="AE37" s="27">
        <v>149180</v>
      </c>
    </row>
    <row r="38" spans="1:31" x14ac:dyDescent="0.25">
      <c r="A38" s="60" t="s">
        <v>179</v>
      </c>
      <c r="B38" s="167">
        <v>36244</v>
      </c>
      <c r="C38" s="19">
        <v>18348</v>
      </c>
      <c r="D38" s="19">
        <v>219754</v>
      </c>
      <c r="E38" s="19">
        <v>153211</v>
      </c>
      <c r="F38" s="19">
        <v>33440</v>
      </c>
      <c r="G38" s="19">
        <v>50389</v>
      </c>
      <c r="H38" s="19">
        <v>63919</v>
      </c>
      <c r="I38" s="19">
        <v>47350</v>
      </c>
      <c r="J38" s="19">
        <v>31506</v>
      </c>
      <c r="K38" s="19">
        <v>49625</v>
      </c>
      <c r="L38" s="19">
        <v>198846</v>
      </c>
      <c r="M38" s="19">
        <v>42875</v>
      </c>
      <c r="N38" s="19">
        <v>28459</v>
      </c>
      <c r="O38" s="19">
        <v>14563</v>
      </c>
      <c r="P38" s="19">
        <v>56160</v>
      </c>
      <c r="Q38" s="19">
        <v>41728</v>
      </c>
      <c r="R38" s="19">
        <v>27871</v>
      </c>
      <c r="S38" s="19">
        <v>14453</v>
      </c>
      <c r="T38" s="19">
        <v>53606</v>
      </c>
      <c r="U38" s="19">
        <v>37925</v>
      </c>
      <c r="V38" s="19">
        <v>78364</v>
      </c>
      <c r="W38" s="19">
        <v>12934</v>
      </c>
      <c r="X38" s="19">
        <v>49711</v>
      </c>
      <c r="Y38" s="19">
        <v>36832</v>
      </c>
      <c r="Z38" s="19">
        <v>78246</v>
      </c>
      <c r="AA38" s="19">
        <v>12164</v>
      </c>
      <c r="AB38" s="19">
        <v>46792</v>
      </c>
      <c r="AC38" s="19">
        <v>34748</v>
      </c>
      <c r="AD38" s="19">
        <v>22427</v>
      </c>
      <c r="AE38" s="19">
        <v>11112</v>
      </c>
    </row>
    <row r="39" spans="1:31" x14ac:dyDescent="0.25">
      <c r="A39" s="58" t="s">
        <v>180</v>
      </c>
      <c r="B39" s="170">
        <v>109265</v>
      </c>
      <c r="C39" s="27">
        <v>54081</v>
      </c>
      <c r="D39" s="27">
        <v>71805</v>
      </c>
      <c r="E39" s="27">
        <v>49715</v>
      </c>
      <c r="F39" s="27">
        <v>101039</v>
      </c>
      <c r="G39" s="27">
        <v>16767</v>
      </c>
      <c r="H39" s="27">
        <v>208240</v>
      </c>
      <c r="I39" s="27">
        <v>148162</v>
      </c>
      <c r="J39" s="27">
        <v>97932</v>
      </c>
      <c r="K39" s="27">
        <v>15845</v>
      </c>
      <c r="L39" s="27">
        <v>58474</v>
      </c>
      <c r="M39" s="27">
        <v>143519</v>
      </c>
      <c r="N39" s="27">
        <v>94875</v>
      </c>
      <c r="O39" s="27">
        <v>46858</v>
      </c>
      <c r="P39" s="27">
        <v>193417</v>
      </c>
      <c r="Q39" s="27">
        <v>140353</v>
      </c>
      <c r="R39" s="27">
        <v>94051</v>
      </c>
      <c r="S39" s="27">
        <v>48764</v>
      </c>
      <c r="T39" s="27">
        <v>174894</v>
      </c>
      <c r="U39" s="27">
        <v>119249</v>
      </c>
      <c r="V39" s="27">
        <v>25549</v>
      </c>
      <c r="W39" s="27">
        <v>38376</v>
      </c>
      <c r="X39" s="27">
        <v>163238</v>
      </c>
      <c r="Y39" s="27">
        <v>114152</v>
      </c>
      <c r="Z39" s="27">
        <v>23868</v>
      </c>
      <c r="AA39" s="27">
        <v>39928</v>
      </c>
      <c r="AB39" s="27">
        <v>158493</v>
      </c>
      <c r="AC39" s="27">
        <v>113840</v>
      </c>
      <c r="AD39" s="27">
        <v>70905</v>
      </c>
      <c r="AE39" s="27">
        <v>34003</v>
      </c>
    </row>
    <row r="40" spans="1:31" ht="12" customHeight="1" x14ac:dyDescent="0.25">
      <c r="A40" s="25" t="s">
        <v>181</v>
      </c>
      <c r="B40" s="168">
        <f t="shared" ref="B40" si="120">SUM(B41:B44)</f>
        <v>445454</v>
      </c>
      <c r="C40" s="21">
        <f t="shared" ref="C40:G40" si="121">SUM(C41:C44)</f>
        <v>208218</v>
      </c>
      <c r="D40" s="21">
        <f t="shared" si="121"/>
        <v>883626</v>
      </c>
      <c r="E40" s="21">
        <f t="shared" si="121"/>
        <v>630063</v>
      </c>
      <c r="F40" s="21">
        <f t="shared" si="121"/>
        <v>407749</v>
      </c>
      <c r="G40" s="21">
        <f t="shared" si="121"/>
        <v>198212</v>
      </c>
      <c r="H40" s="21">
        <f t="shared" ref="H40:I40" si="122">SUM(H41:H44)</f>
        <v>803585</v>
      </c>
      <c r="I40" s="21">
        <f t="shared" si="122"/>
        <v>597944</v>
      </c>
      <c r="J40" s="21">
        <f t="shared" ref="J40:K40" si="123">SUM(J41:J44)</f>
        <v>396886</v>
      </c>
      <c r="K40" s="21">
        <f t="shared" si="123"/>
        <v>197302</v>
      </c>
      <c r="L40" s="21">
        <f t="shared" ref="L40:M40" si="124">SUM(L41:L44)</f>
        <v>784051</v>
      </c>
      <c r="M40" s="21">
        <f t="shared" si="124"/>
        <v>560976</v>
      </c>
      <c r="N40" s="21">
        <f t="shared" ref="N40" si="125">SUM(N41:N44)</f>
        <v>362033</v>
      </c>
      <c r="O40" s="21">
        <f t="shared" ref="O40" si="126">SUM(O41:O44)</f>
        <v>174851</v>
      </c>
      <c r="P40" s="21">
        <f t="shared" ref="P40" si="127">SUM(P41:P44)</f>
        <v>632014</v>
      </c>
      <c r="Q40" s="21">
        <f t="shared" ref="Q40" si="128">SUM(Q41:Q44)</f>
        <v>468790</v>
      </c>
      <c r="R40" s="21">
        <f t="shared" ref="R40" si="129">SUM(R41:R44)</f>
        <v>290829</v>
      </c>
      <c r="S40" s="21">
        <f t="shared" ref="S40:AB40" si="130">SUM(S41:S44)</f>
        <v>129607</v>
      </c>
      <c r="T40" s="21">
        <f t="shared" ref="T40" si="131">SUM(T41:T44)</f>
        <v>586705</v>
      </c>
      <c r="U40" s="21">
        <f t="shared" si="130"/>
        <v>434760</v>
      </c>
      <c r="V40" s="21">
        <f t="shared" si="130"/>
        <v>276227</v>
      </c>
      <c r="W40" s="21">
        <f t="shared" ref="W40" si="132">SUM(W41:W44)</f>
        <v>110239</v>
      </c>
      <c r="X40" s="21">
        <v>552424</v>
      </c>
      <c r="Y40" s="21">
        <f t="shared" ref="Y40:AA40" si="133">SUM(Y41:Y44)</f>
        <v>431891</v>
      </c>
      <c r="Z40" s="21">
        <f t="shared" si="133"/>
        <v>271894</v>
      </c>
      <c r="AA40" s="21">
        <f t="shared" si="133"/>
        <v>128337</v>
      </c>
      <c r="AB40" s="21">
        <f t="shared" si="130"/>
        <v>540267</v>
      </c>
      <c r="AC40" s="21">
        <f t="shared" ref="AC40:AE40" si="134">SUM(AC41:AC44)</f>
        <v>340329</v>
      </c>
      <c r="AD40" s="21">
        <f t="shared" si="134"/>
        <v>213331</v>
      </c>
      <c r="AE40" s="21">
        <f t="shared" si="134"/>
        <v>108335</v>
      </c>
    </row>
    <row r="41" spans="1:31" x14ac:dyDescent="0.25">
      <c r="A41" s="58" t="s">
        <v>182</v>
      </c>
      <c r="B41" s="170">
        <v>388985</v>
      </c>
      <c r="C41" s="27">
        <v>176736</v>
      </c>
      <c r="D41" s="27">
        <v>815990</v>
      </c>
      <c r="E41" s="27">
        <v>583538</v>
      </c>
      <c r="F41" s="27">
        <v>381046</v>
      </c>
      <c r="G41" s="27">
        <v>189228</v>
      </c>
      <c r="H41" s="27">
        <v>743711</v>
      </c>
      <c r="I41" s="27">
        <v>562017</v>
      </c>
      <c r="J41" s="27">
        <v>360697</v>
      </c>
      <c r="K41" s="27">
        <v>181432</v>
      </c>
      <c r="L41" s="27">
        <v>729768</v>
      </c>
      <c r="M41" s="27">
        <v>524906</v>
      </c>
      <c r="N41" s="27">
        <v>325550</v>
      </c>
      <c r="O41" s="27">
        <v>151696</v>
      </c>
      <c r="P41" s="27">
        <v>590746</v>
      </c>
      <c r="Q41" s="27">
        <v>429920</v>
      </c>
      <c r="R41" s="27">
        <v>262017</v>
      </c>
      <c r="S41" s="27">
        <v>113469</v>
      </c>
      <c r="T41" s="27">
        <v>502511</v>
      </c>
      <c r="U41" s="27">
        <v>389233</v>
      </c>
      <c r="V41" s="27">
        <v>256183</v>
      </c>
      <c r="W41" s="27">
        <v>117375</v>
      </c>
      <c r="X41" s="27">
        <v>468100</v>
      </c>
      <c r="Y41" s="27">
        <v>363171</v>
      </c>
      <c r="Z41" s="27">
        <v>229070</v>
      </c>
      <c r="AA41" s="27">
        <v>115824</v>
      </c>
      <c r="AB41" s="27">
        <v>459914</v>
      </c>
      <c r="AC41" s="27">
        <v>338686</v>
      </c>
      <c r="AD41" s="27">
        <v>197367</v>
      </c>
      <c r="AE41" s="27">
        <v>99862</v>
      </c>
    </row>
    <row r="42" spans="1:31" x14ac:dyDescent="0.25">
      <c r="A42" s="60" t="s">
        <v>183</v>
      </c>
      <c r="B42" s="167">
        <v>12949</v>
      </c>
      <c r="C42" s="19">
        <v>968</v>
      </c>
      <c r="D42" s="19">
        <v>23749</v>
      </c>
      <c r="E42" s="19">
        <v>18429</v>
      </c>
      <c r="F42" s="19">
        <v>2800</v>
      </c>
      <c r="G42" s="19">
        <v>-7639</v>
      </c>
      <c r="H42" s="19">
        <v>31239</v>
      </c>
      <c r="I42" s="19">
        <v>10320</v>
      </c>
      <c r="J42" s="19">
        <v>14137</v>
      </c>
      <c r="K42" s="19">
        <v>487</v>
      </c>
      <c r="L42" s="19">
        <v>23598</v>
      </c>
      <c r="M42" s="19">
        <v>8726</v>
      </c>
      <c r="N42" s="19">
        <v>12681</v>
      </c>
      <c r="O42" s="19">
        <v>20941</v>
      </c>
      <c r="P42" s="19">
        <v>25939</v>
      </c>
      <c r="Q42" s="19">
        <v>25890</v>
      </c>
      <c r="R42" s="19">
        <v>18318</v>
      </c>
      <c r="S42" s="19">
        <v>9545</v>
      </c>
      <c r="T42" s="19">
        <v>67562</v>
      </c>
      <c r="U42" s="19">
        <v>30652</v>
      </c>
      <c r="V42" s="19">
        <v>6999</v>
      </c>
      <c r="W42" s="19">
        <v>-12790</v>
      </c>
      <c r="X42" s="19">
        <v>68969</v>
      </c>
      <c r="Y42" s="19">
        <v>55045</v>
      </c>
      <c r="Z42" s="19">
        <v>31457</v>
      </c>
      <c r="AA42" s="19">
        <v>7919</v>
      </c>
      <c r="AB42" s="19">
        <v>65947</v>
      </c>
      <c r="AC42" s="19">
        <v>-11214</v>
      </c>
      <c r="AD42" s="19">
        <v>8856</v>
      </c>
      <c r="AE42" s="19">
        <v>4130</v>
      </c>
    </row>
    <row r="43" spans="1:31" x14ac:dyDescent="0.25">
      <c r="A43" s="58" t="s">
        <v>184</v>
      </c>
      <c r="B43" s="170">
        <v>36534</v>
      </c>
      <c r="C43" s="27">
        <v>23884</v>
      </c>
      <c r="D43" s="27">
        <v>36833</v>
      </c>
      <c r="E43" s="27">
        <v>21068</v>
      </c>
      <c r="F43" s="27">
        <v>17385</v>
      </c>
      <c r="G43" s="27">
        <v>10678</v>
      </c>
      <c r="H43" s="27">
        <v>22427</v>
      </c>
      <c r="I43" s="27">
        <v>19470</v>
      </c>
      <c r="J43" s="27">
        <v>15974</v>
      </c>
      <c r="K43" s="27">
        <v>9729</v>
      </c>
      <c r="L43" s="27">
        <v>24459</v>
      </c>
      <c r="M43" s="27">
        <v>21140</v>
      </c>
      <c r="N43" s="27">
        <v>17676</v>
      </c>
      <c r="O43" s="27">
        <v>1748</v>
      </c>
      <c r="P43" s="27">
        <v>9210</v>
      </c>
      <c r="Q43" s="27">
        <v>7114</v>
      </c>
      <c r="R43" s="27">
        <v>4827</v>
      </c>
      <c r="S43" s="27">
        <v>1562</v>
      </c>
      <c r="T43" s="27">
        <v>11998</v>
      </c>
      <c r="U43" s="27">
        <v>10328</v>
      </c>
      <c r="V43" s="27">
        <v>8576</v>
      </c>
      <c r="W43" s="27">
        <v>1910</v>
      </c>
      <c r="X43" s="27">
        <v>11160</v>
      </c>
      <c r="Y43" s="27">
        <v>9494</v>
      </c>
      <c r="Z43" s="27">
        <v>7537</v>
      </c>
      <c r="AA43" s="27">
        <v>1308</v>
      </c>
      <c r="AB43" s="27">
        <v>10758</v>
      </c>
      <c r="AC43" s="27">
        <v>9517</v>
      </c>
      <c r="AD43" s="27">
        <v>3905</v>
      </c>
      <c r="AE43" s="27">
        <v>1782</v>
      </c>
    </row>
    <row r="44" spans="1:31" x14ac:dyDescent="0.25">
      <c r="A44" s="62" t="s">
        <v>185</v>
      </c>
      <c r="B44" s="169">
        <v>6986</v>
      </c>
      <c r="C44" s="46">
        <v>6630</v>
      </c>
      <c r="D44" s="46">
        <v>7054</v>
      </c>
      <c r="E44" s="46">
        <v>7028</v>
      </c>
      <c r="F44" s="46">
        <v>6518</v>
      </c>
      <c r="G44" s="46">
        <v>5945</v>
      </c>
      <c r="H44" s="46">
        <v>6208</v>
      </c>
      <c r="I44" s="46">
        <v>6137</v>
      </c>
      <c r="J44" s="46">
        <v>6078</v>
      </c>
      <c r="K44" s="46">
        <v>5654</v>
      </c>
      <c r="L44" s="46">
        <v>6226</v>
      </c>
      <c r="M44" s="46">
        <v>6204</v>
      </c>
      <c r="N44" s="46">
        <v>6126</v>
      </c>
      <c r="O44" s="46">
        <v>466</v>
      </c>
      <c r="P44" s="46">
        <v>6119</v>
      </c>
      <c r="Q44" s="46">
        <v>5866</v>
      </c>
      <c r="R44" s="46">
        <v>5667</v>
      </c>
      <c r="S44" s="46">
        <v>5031</v>
      </c>
      <c r="T44" s="46">
        <v>4634</v>
      </c>
      <c r="U44" s="46">
        <v>4547</v>
      </c>
      <c r="V44" s="46">
        <v>4469</v>
      </c>
      <c r="W44" s="46">
        <v>3744</v>
      </c>
      <c r="X44" s="46">
        <v>4195</v>
      </c>
      <c r="Y44" s="46">
        <v>4181</v>
      </c>
      <c r="Z44" s="46">
        <v>3830</v>
      </c>
      <c r="AA44" s="46">
        <v>3286</v>
      </c>
      <c r="AB44" s="46">
        <v>3648</v>
      </c>
      <c r="AC44" s="46">
        <v>3340</v>
      </c>
      <c r="AD44" s="46">
        <v>3203</v>
      </c>
      <c r="AE44" s="46">
        <v>2561</v>
      </c>
    </row>
    <row r="45" spans="1:31" ht="12" customHeight="1" x14ac:dyDescent="0.25">
      <c r="A45" s="25" t="s">
        <v>186</v>
      </c>
      <c r="B45" s="168">
        <f t="shared" ref="B45" si="135">SUM(B46:B47)</f>
        <v>104394</v>
      </c>
      <c r="C45" s="21">
        <f t="shared" ref="C45:G45" si="136">SUM(C46:C47)</f>
        <v>56926</v>
      </c>
      <c r="D45" s="21">
        <f t="shared" si="136"/>
        <v>165801</v>
      </c>
      <c r="E45" s="21">
        <f t="shared" si="136"/>
        <v>173295</v>
      </c>
      <c r="F45" s="21">
        <f t="shared" si="136"/>
        <v>103048</v>
      </c>
      <c r="G45" s="21">
        <f t="shared" si="136"/>
        <v>43991</v>
      </c>
      <c r="H45" s="21">
        <f t="shared" ref="H45:I45" si="137">SUM(H46:H47)</f>
        <v>188627</v>
      </c>
      <c r="I45" s="21">
        <f t="shared" si="137"/>
        <v>140202</v>
      </c>
      <c r="J45" s="21">
        <f t="shared" ref="J45:K45" si="138">SUM(J46:J47)</f>
        <v>91754</v>
      </c>
      <c r="K45" s="21">
        <f t="shared" si="138"/>
        <v>45868</v>
      </c>
      <c r="L45" s="21">
        <f t="shared" ref="L45:M45" si="139">SUM(L46:L47)</f>
        <v>175812</v>
      </c>
      <c r="M45" s="21">
        <f t="shared" si="139"/>
        <v>129675</v>
      </c>
      <c r="N45" s="21">
        <f t="shared" ref="N45" si="140">SUM(N46:N47)</f>
        <v>84845</v>
      </c>
      <c r="O45" s="21">
        <f t="shared" ref="O45" si="141">SUM(O46:O47)</f>
        <v>45817</v>
      </c>
      <c r="P45" s="21">
        <f t="shared" ref="P45" si="142">SUM(P46:P47)</f>
        <v>170407</v>
      </c>
      <c r="Q45" s="21">
        <f t="shared" ref="Q45" si="143">SUM(Q46:Q47)</f>
        <v>124874</v>
      </c>
      <c r="R45" s="21">
        <f t="shared" ref="R45" si="144">SUM(R46:R47)</f>
        <v>75636</v>
      </c>
      <c r="S45" s="21">
        <f t="shared" ref="S45:AB45" si="145">SUM(S46:S47)</f>
        <v>28050</v>
      </c>
      <c r="T45" s="21">
        <f t="shared" ref="T45" si="146">SUM(T46:T47)</f>
        <v>152256</v>
      </c>
      <c r="U45" s="21">
        <f t="shared" si="145"/>
        <v>113297</v>
      </c>
      <c r="V45" s="21">
        <f t="shared" si="145"/>
        <v>47597</v>
      </c>
      <c r="W45" s="21">
        <f t="shared" ref="W45" si="147">SUM(W46:W47)</f>
        <v>34505</v>
      </c>
      <c r="X45" s="21">
        <f t="shared" ref="X45:AA45" si="148">SUM(X46:X47)</f>
        <v>142130</v>
      </c>
      <c r="Y45" s="21">
        <f t="shared" si="148"/>
        <v>118905</v>
      </c>
      <c r="Z45" s="21">
        <f t="shared" si="148"/>
        <v>86254</v>
      </c>
      <c r="AA45" s="21">
        <f t="shared" si="148"/>
        <v>54121</v>
      </c>
      <c r="AB45" s="21">
        <f t="shared" si="145"/>
        <v>136245</v>
      </c>
      <c r="AC45" s="21">
        <f t="shared" ref="AC45:AE45" si="149">SUM(AC46:AC47)</f>
        <v>109707</v>
      </c>
      <c r="AD45" s="21">
        <f t="shared" si="149"/>
        <v>72426</v>
      </c>
      <c r="AE45" s="21">
        <f t="shared" si="149"/>
        <v>34837</v>
      </c>
    </row>
    <row r="46" spans="1:31" x14ac:dyDescent="0.25">
      <c r="A46" s="58" t="s">
        <v>187</v>
      </c>
      <c r="B46" s="170">
        <v>87730</v>
      </c>
      <c r="C46" s="27">
        <v>48312</v>
      </c>
      <c r="D46" s="27">
        <v>139165</v>
      </c>
      <c r="E46" s="27">
        <v>149688</v>
      </c>
      <c r="F46" s="27">
        <v>89250</v>
      </c>
      <c r="G46" s="27">
        <v>37097</v>
      </c>
      <c r="H46" s="27">
        <v>167449</v>
      </c>
      <c r="I46" s="27">
        <v>126807</v>
      </c>
      <c r="J46" s="27">
        <v>85267</v>
      </c>
      <c r="K46" s="27">
        <v>43453</v>
      </c>
      <c r="L46" s="27">
        <v>165435</v>
      </c>
      <c r="M46" s="27">
        <v>122134</v>
      </c>
      <c r="N46" s="27">
        <v>79536</v>
      </c>
      <c r="O46" s="27">
        <v>42575</v>
      </c>
      <c r="P46" s="27">
        <v>158948</v>
      </c>
      <c r="Q46" s="27">
        <v>116737</v>
      </c>
      <c r="R46" s="27">
        <v>70484</v>
      </c>
      <c r="S46" s="27">
        <v>25332</v>
      </c>
      <c r="T46" s="27">
        <v>143310</v>
      </c>
      <c r="U46" s="27">
        <v>107196</v>
      </c>
      <c r="V46" s="27">
        <v>44036</v>
      </c>
      <c r="W46" s="27">
        <v>32807</v>
      </c>
      <c r="X46" s="27">
        <v>134348</v>
      </c>
      <c r="Y46" s="27">
        <v>113366</v>
      </c>
      <c r="Z46" s="27">
        <v>82768</v>
      </c>
      <c r="AA46" s="27">
        <v>52513</v>
      </c>
      <c r="AB46" s="27">
        <v>124937</v>
      </c>
      <c r="AC46" s="27">
        <v>100354</v>
      </c>
      <c r="AD46" s="27">
        <v>65741</v>
      </c>
      <c r="AE46" s="27">
        <v>29771</v>
      </c>
    </row>
    <row r="47" spans="1:31" x14ac:dyDescent="0.25">
      <c r="A47" s="60" t="s">
        <v>188</v>
      </c>
      <c r="B47" s="167">
        <v>16664</v>
      </c>
      <c r="C47" s="19">
        <v>8614</v>
      </c>
      <c r="D47" s="19">
        <v>26636</v>
      </c>
      <c r="E47" s="19">
        <v>23607</v>
      </c>
      <c r="F47" s="19">
        <v>13798</v>
      </c>
      <c r="G47" s="19">
        <v>6894</v>
      </c>
      <c r="H47" s="19">
        <v>21178</v>
      </c>
      <c r="I47" s="19">
        <v>13395</v>
      </c>
      <c r="J47" s="19">
        <v>6487</v>
      </c>
      <c r="K47" s="19">
        <v>2415</v>
      </c>
      <c r="L47" s="19">
        <v>10377</v>
      </c>
      <c r="M47" s="19">
        <v>7541</v>
      </c>
      <c r="N47" s="19">
        <v>5309</v>
      </c>
      <c r="O47" s="19">
        <v>3242</v>
      </c>
      <c r="P47" s="19">
        <f>11458+1</f>
        <v>11459</v>
      </c>
      <c r="Q47" s="19">
        <v>8137</v>
      </c>
      <c r="R47" s="19">
        <v>5152</v>
      </c>
      <c r="S47" s="19">
        <v>2718</v>
      </c>
      <c r="T47" s="19">
        <v>8946</v>
      </c>
      <c r="U47" s="19">
        <v>6101</v>
      </c>
      <c r="V47" s="19">
        <v>3561</v>
      </c>
      <c r="W47" s="19">
        <v>1698</v>
      </c>
      <c r="X47" s="19">
        <v>7782</v>
      </c>
      <c r="Y47" s="19">
        <v>5539</v>
      </c>
      <c r="Z47" s="19">
        <v>3486</v>
      </c>
      <c r="AA47" s="19">
        <v>1608</v>
      </c>
      <c r="AB47" s="19">
        <v>11308</v>
      </c>
      <c r="AC47" s="19">
        <v>9353</v>
      </c>
      <c r="AD47" s="19">
        <v>6685</v>
      </c>
      <c r="AE47" s="19">
        <v>5066</v>
      </c>
    </row>
    <row r="48" spans="1:31" ht="12" customHeight="1" x14ac:dyDescent="0.25">
      <c r="A48" s="25" t="s">
        <v>189</v>
      </c>
      <c r="B48" s="168">
        <v>252470</v>
      </c>
      <c r="C48" s="21">
        <v>79018</v>
      </c>
      <c r="D48" s="21">
        <v>669769</v>
      </c>
      <c r="E48" s="21">
        <v>456023</v>
      </c>
      <c r="F48" s="21">
        <v>268801</v>
      </c>
      <c r="G48" s="21">
        <v>119240</v>
      </c>
      <c r="H48" s="21">
        <v>621594</v>
      </c>
      <c r="I48" s="21">
        <v>452843</v>
      </c>
      <c r="J48" s="21">
        <v>279453</v>
      </c>
      <c r="K48" s="21">
        <v>131756</v>
      </c>
      <c r="L48" s="21">
        <v>583856</v>
      </c>
      <c r="M48" s="21">
        <v>406310</v>
      </c>
      <c r="N48" s="21">
        <v>232566</v>
      </c>
      <c r="O48" s="21">
        <v>129741</v>
      </c>
      <c r="P48" s="21">
        <v>401636</v>
      </c>
      <c r="Q48" s="21">
        <v>287993</v>
      </c>
      <c r="R48" s="21">
        <v>149427</v>
      </c>
      <c r="S48" s="21">
        <v>23254</v>
      </c>
      <c r="T48" s="21">
        <v>352456</v>
      </c>
      <c r="U48" s="21">
        <v>248498</v>
      </c>
      <c r="V48" s="21">
        <v>123800</v>
      </c>
      <c r="W48" s="21">
        <v>9851</v>
      </c>
      <c r="X48" s="21">
        <v>336346</v>
      </c>
      <c r="Y48" s="21">
        <f>Y50</f>
        <v>230357</v>
      </c>
      <c r="Z48" s="21">
        <v>119584</v>
      </c>
      <c r="AA48" s="21">
        <v>48275</v>
      </c>
      <c r="AB48" s="21">
        <v>275062</v>
      </c>
      <c r="AC48" s="21">
        <v>77235</v>
      </c>
      <c r="AD48" s="21">
        <v>53081</v>
      </c>
      <c r="AE48" s="21">
        <v>42160</v>
      </c>
    </row>
    <row r="49" spans="1:31" x14ac:dyDescent="0.25">
      <c r="A49" s="58"/>
      <c r="B49" s="58"/>
      <c r="C49" s="58"/>
      <c r="D49" s="58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1:31" ht="12" customHeight="1" x14ac:dyDescent="0.25">
      <c r="A50" s="25" t="s">
        <v>190</v>
      </c>
      <c r="B50" s="168">
        <f>B48</f>
        <v>252470</v>
      </c>
      <c r="C50" s="21">
        <v>79018</v>
      </c>
      <c r="D50" s="21">
        <v>669769</v>
      </c>
      <c r="E50" s="21">
        <f t="shared" ref="E50:G50" si="150">E48</f>
        <v>456023</v>
      </c>
      <c r="F50" s="21">
        <f t="shared" si="150"/>
        <v>268801</v>
      </c>
      <c r="G50" s="21">
        <f t="shared" si="150"/>
        <v>119240</v>
      </c>
      <c r="H50" s="21">
        <f t="shared" ref="H50:I50" si="151">H48</f>
        <v>621594</v>
      </c>
      <c r="I50" s="21">
        <f t="shared" si="151"/>
        <v>452843</v>
      </c>
      <c r="J50" s="21">
        <f t="shared" ref="J50:K50" si="152">J48</f>
        <v>279453</v>
      </c>
      <c r="K50" s="21">
        <f t="shared" si="152"/>
        <v>131756</v>
      </c>
      <c r="L50" s="21">
        <f t="shared" ref="L50:M50" si="153">L48</f>
        <v>583856</v>
      </c>
      <c r="M50" s="21">
        <f t="shared" si="153"/>
        <v>406310</v>
      </c>
      <c r="N50" s="21">
        <f t="shared" ref="N50" si="154">N48</f>
        <v>232566</v>
      </c>
      <c r="O50" s="21">
        <f t="shared" ref="O50" si="155">O48</f>
        <v>129741</v>
      </c>
      <c r="P50" s="21">
        <f t="shared" ref="P50" si="156">P48</f>
        <v>401636</v>
      </c>
      <c r="Q50" s="21">
        <f t="shared" ref="Q50" si="157">Q48</f>
        <v>287993</v>
      </c>
      <c r="R50" s="21">
        <f t="shared" ref="R50" si="158">R48</f>
        <v>149427</v>
      </c>
      <c r="S50" s="21">
        <f t="shared" ref="S50:AB50" si="159">S48</f>
        <v>23254</v>
      </c>
      <c r="T50" s="21">
        <f t="shared" ref="T50" si="160">T48</f>
        <v>352456</v>
      </c>
      <c r="U50" s="21">
        <f t="shared" si="159"/>
        <v>248498</v>
      </c>
      <c r="V50" s="21">
        <f t="shared" si="159"/>
        <v>123800</v>
      </c>
      <c r="W50" s="21">
        <f t="shared" ref="W50" si="161">W48</f>
        <v>9851</v>
      </c>
      <c r="X50" s="21">
        <f t="shared" ref="X50" si="162">X48</f>
        <v>336346</v>
      </c>
      <c r="Y50" s="21">
        <v>230357</v>
      </c>
      <c r="Z50" s="21">
        <f>Z48</f>
        <v>119584</v>
      </c>
      <c r="AA50" s="21">
        <f>AA48</f>
        <v>48275</v>
      </c>
      <c r="AB50" s="21">
        <f t="shared" si="159"/>
        <v>275062</v>
      </c>
      <c r="AC50" s="21">
        <f t="shared" ref="AC50:AE50" si="163">AC48</f>
        <v>77235</v>
      </c>
      <c r="AD50" s="21">
        <f t="shared" si="163"/>
        <v>53081</v>
      </c>
      <c r="AE50" s="21">
        <f t="shared" si="163"/>
        <v>42160</v>
      </c>
    </row>
    <row r="51" spans="1:31" x14ac:dyDescent="0.25">
      <c r="L51"/>
      <c r="P51"/>
      <c r="T51"/>
      <c r="X51"/>
      <c r="AB51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808080"/>
  </sheetPr>
  <dimension ref="A1:AJ43"/>
  <sheetViews>
    <sheetView showGridLines="0" tabSelected="1" zoomScale="85" zoomScaleNormal="85" workbookViewId="0">
      <pane xSplit="1" ySplit="7" topLeftCell="B23" activePane="bottomRight" state="frozen"/>
      <selection pane="topRight" activeCell="B1" sqref="B1"/>
      <selection pane="bottomLeft" activeCell="A23" sqref="A23"/>
      <selection pane="bottomRight" activeCell="C43" sqref="C43"/>
    </sheetView>
  </sheetViews>
  <sheetFormatPr defaultColWidth="8.7109375" defaultRowHeight="15" x14ac:dyDescent="0.25"/>
  <cols>
    <col min="1" max="1" width="41.140625" customWidth="1"/>
    <col min="2" max="2" width="8.140625" customWidth="1"/>
    <col min="3" max="6" width="10.5703125" bestFit="1" customWidth="1"/>
    <col min="7" max="7" width="11.42578125" customWidth="1"/>
    <col min="8" max="8" width="9" bestFit="1" customWidth="1"/>
    <col min="9" max="11" width="11.140625" bestFit="1" customWidth="1"/>
    <col min="12" max="12" width="9.5703125" bestFit="1" customWidth="1"/>
    <col min="13" max="15" width="11.140625" bestFit="1" customWidth="1"/>
    <col min="16" max="16" width="9.5703125" bestFit="1" customWidth="1"/>
    <col min="17" max="19" width="11.140625" bestFit="1" customWidth="1"/>
    <col min="20" max="20" width="9.5703125" bestFit="1" customWidth="1"/>
    <col min="21" max="23" width="11.140625" customWidth="1"/>
    <col min="24" max="24" width="9.5703125" bestFit="1" customWidth="1"/>
    <col min="25" max="27" width="11.140625" bestFit="1" customWidth="1"/>
    <col min="28" max="28" width="9.5703125" bestFit="1" customWidth="1"/>
    <col min="29" max="31" width="11.140625" bestFit="1" customWidth="1"/>
    <col min="32" max="32" width="9.5703125" bestFit="1" customWidth="1"/>
    <col min="33" max="34" width="11.140625" bestFit="1" customWidth="1"/>
    <col min="35" max="35" width="12.140625" bestFit="1" customWidth="1"/>
    <col min="1012" max="1014" width="11.5703125" customWidth="1"/>
  </cols>
  <sheetData>
    <row r="1" spans="1:36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41"/>
      <c r="AG1" s="24"/>
    </row>
    <row r="2" spans="1:36" ht="18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41"/>
      <c r="AG2" s="35"/>
      <c r="AH2" s="35"/>
    </row>
    <row r="3" spans="1:36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H3" s="35"/>
      <c r="AI3" s="142"/>
    </row>
    <row r="4" spans="1:36" ht="48" customHeight="1" x14ac:dyDescent="0.55000000000000004">
      <c r="A4" s="1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0"/>
      <c r="X4" s="50"/>
      <c r="Y4" s="50"/>
      <c r="Z4" s="63"/>
      <c r="AA4" s="64"/>
      <c r="AB4" s="57"/>
      <c r="AC4" s="57"/>
      <c r="AD4" s="57"/>
      <c r="AE4" s="57"/>
      <c r="AF4" s="57"/>
    </row>
    <row r="5" spans="1:36" ht="11.25" customHeight="1" x14ac:dyDescent="0.25">
      <c r="A5" s="9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"/>
      <c r="X5" s="1"/>
      <c r="Y5" s="1"/>
      <c r="Z5" s="1"/>
      <c r="AA5" s="1"/>
      <c r="AB5" s="1"/>
      <c r="AC5" s="1"/>
      <c r="AD5" s="1"/>
      <c r="AE5" s="1"/>
      <c r="AF5" s="141"/>
      <c r="AG5" s="24"/>
    </row>
    <row r="6" spans="1:36" ht="23.25" x14ac:dyDescent="0.25">
      <c r="A6" s="9" t="s">
        <v>191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41"/>
      <c r="AG6" s="35"/>
      <c r="AH6" s="35"/>
      <c r="AI6" s="35"/>
      <c r="AJ6" s="35"/>
    </row>
    <row r="7" spans="1:36" ht="15.75" customHeight="1" x14ac:dyDescent="0.25">
      <c r="A7" s="65" t="s">
        <v>192</v>
      </c>
      <c r="B7" s="66" t="s">
        <v>193</v>
      </c>
      <c r="C7" s="66" t="s">
        <v>278</v>
      </c>
      <c r="D7" s="66" t="s">
        <v>275</v>
      </c>
      <c r="E7" s="66" t="s">
        <v>274</v>
      </c>
      <c r="F7" s="10" t="s">
        <v>270</v>
      </c>
      <c r="G7" s="10" t="s">
        <v>269</v>
      </c>
      <c r="H7" s="10" t="s">
        <v>265</v>
      </c>
      <c r="I7" s="10" t="s">
        <v>263</v>
      </c>
      <c r="J7" s="10" t="s">
        <v>262</v>
      </c>
      <c r="K7" s="10" t="s">
        <v>260</v>
      </c>
      <c r="L7" s="10" t="s">
        <v>257</v>
      </c>
      <c r="M7" s="10" t="s">
        <v>255</v>
      </c>
      <c r="N7" s="10" t="s">
        <v>254</v>
      </c>
      <c r="O7" s="10" t="s">
        <v>250</v>
      </c>
      <c r="P7" s="10" t="s">
        <v>246</v>
      </c>
      <c r="Q7" s="10" t="s">
        <v>3</v>
      </c>
      <c r="R7" s="10" t="s">
        <v>4</v>
      </c>
      <c r="S7" s="10" t="s">
        <v>5</v>
      </c>
      <c r="T7" s="10" t="s">
        <v>6</v>
      </c>
      <c r="U7" s="10" t="s">
        <v>7</v>
      </c>
      <c r="V7" s="10" t="s">
        <v>8</v>
      </c>
      <c r="W7" s="10" t="s">
        <v>9</v>
      </c>
      <c r="X7" s="10" t="s">
        <v>10</v>
      </c>
      <c r="Y7" s="10" t="s">
        <v>11</v>
      </c>
      <c r="Z7" s="10" t="s">
        <v>194</v>
      </c>
      <c r="AA7" s="10" t="s">
        <v>195</v>
      </c>
      <c r="AB7" s="10" t="s">
        <v>196</v>
      </c>
      <c r="AC7" s="10" t="s">
        <v>12</v>
      </c>
      <c r="AD7" s="10" t="s">
        <v>197</v>
      </c>
      <c r="AE7" s="10" t="s">
        <v>198</v>
      </c>
      <c r="AF7" s="10" t="s">
        <v>199</v>
      </c>
    </row>
    <row r="8" spans="1:36" ht="13.5" customHeight="1" x14ac:dyDescent="0.25">
      <c r="A8" s="67" t="s">
        <v>200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35"/>
    </row>
    <row r="9" spans="1:36" x14ac:dyDescent="0.25">
      <c r="A9" s="58" t="s">
        <v>201</v>
      </c>
      <c r="B9" s="59" t="s">
        <v>202</v>
      </c>
      <c r="C9" s="59">
        <v>6276</v>
      </c>
      <c r="D9" s="59">
        <v>6251</v>
      </c>
      <c r="E9" s="59">
        <v>6233</v>
      </c>
      <c r="F9" s="59">
        <v>6209</v>
      </c>
      <c r="G9" s="59">
        <v>6186</v>
      </c>
      <c r="H9" s="59">
        <v>6166</v>
      </c>
      <c r="I9" s="59">
        <v>6145</v>
      </c>
      <c r="J9" s="59">
        <v>6123</v>
      </c>
      <c r="K9" s="59">
        <v>6099</v>
      </c>
      <c r="L9" s="59">
        <v>6078</v>
      </c>
      <c r="M9" s="59">
        <v>6058</v>
      </c>
      <c r="N9" s="59">
        <v>6035</v>
      </c>
      <c r="O9" s="59">
        <v>6017</v>
      </c>
      <c r="P9" s="59">
        <v>5993</v>
      </c>
      <c r="Q9" s="59">
        <v>5972</v>
      </c>
      <c r="R9" s="59">
        <v>5972</v>
      </c>
      <c r="S9" s="59">
        <v>5951.5555162999999</v>
      </c>
      <c r="T9" s="59">
        <v>5940.5466850000003</v>
      </c>
      <c r="U9" s="59">
        <v>5920.5617671</v>
      </c>
      <c r="V9" s="59">
        <v>5892.7459730999999</v>
      </c>
      <c r="W9" s="70">
        <v>5871.0899871000001</v>
      </c>
      <c r="X9" s="70">
        <v>5850.6583732999998</v>
      </c>
      <c r="Y9" s="70">
        <v>5828.5983843000004</v>
      </c>
      <c r="Z9" s="70">
        <v>5802.5681299999997</v>
      </c>
      <c r="AA9" s="70">
        <v>5780.4861600000004</v>
      </c>
      <c r="AB9" s="70">
        <v>5760.5166600000002</v>
      </c>
      <c r="AC9" s="70">
        <v>5737.6414699999996</v>
      </c>
      <c r="AD9" s="70">
        <v>5713.9691899999998</v>
      </c>
      <c r="AE9" s="70">
        <v>5694.2279699999999</v>
      </c>
      <c r="AF9" s="70">
        <v>5674.6784399999997</v>
      </c>
      <c r="AG9" s="24"/>
    </row>
    <row r="10" spans="1:36" x14ac:dyDescent="0.25">
      <c r="A10" s="60" t="s">
        <v>203</v>
      </c>
      <c r="B10" s="61" t="s">
        <v>204</v>
      </c>
      <c r="C10" s="157">
        <v>0.98350000000000004</v>
      </c>
      <c r="D10" s="71">
        <v>0.98280000000000001</v>
      </c>
      <c r="E10" s="71">
        <v>0.98309999999999997</v>
      </c>
      <c r="F10" s="71">
        <v>0.98260000000000003</v>
      </c>
      <c r="G10" s="71">
        <v>0.98209999999999997</v>
      </c>
      <c r="H10" s="71">
        <v>0.9819</v>
      </c>
      <c r="I10" s="71">
        <v>0.9819</v>
      </c>
      <c r="J10" s="71">
        <v>0.98140000000000005</v>
      </c>
      <c r="K10" s="71">
        <v>0.98070000000000002</v>
      </c>
      <c r="L10" s="71">
        <v>0.98060000000000003</v>
      </c>
      <c r="M10" s="71">
        <v>0.98040000000000005</v>
      </c>
      <c r="N10" s="71">
        <v>0.97899999999999998</v>
      </c>
      <c r="O10" s="71">
        <v>0.97940000000000005</v>
      </c>
      <c r="P10" s="71">
        <v>0.97850000000000004</v>
      </c>
      <c r="Q10" s="71">
        <v>0.97829999999999995</v>
      </c>
      <c r="R10" s="71">
        <v>0.97768917584321902</v>
      </c>
      <c r="S10" s="71">
        <v>0.97740912095593702</v>
      </c>
      <c r="T10" s="71">
        <v>0.97731612090526199</v>
      </c>
      <c r="U10" s="71">
        <v>0.97713422293000296</v>
      </c>
      <c r="V10" s="71">
        <v>0.97591035612219001</v>
      </c>
      <c r="W10" s="71">
        <v>0.97542017921053503</v>
      </c>
      <c r="X10" s="71">
        <v>0.97511916044712899</v>
      </c>
      <c r="Y10" s="71">
        <v>0.97453219679052105</v>
      </c>
      <c r="Z10" s="71">
        <v>0.97299999999999998</v>
      </c>
      <c r="AA10" s="71">
        <v>0.97199999999999998</v>
      </c>
      <c r="AB10" s="71">
        <v>0.97199999999999998</v>
      </c>
      <c r="AC10" s="71">
        <v>0.97166608605965699</v>
      </c>
      <c r="AD10" s="71">
        <v>0.97</v>
      </c>
      <c r="AE10" s="71">
        <v>0.97</v>
      </c>
      <c r="AF10" s="71">
        <v>0.97</v>
      </c>
      <c r="AG10" s="140"/>
    </row>
    <row r="11" spans="1:36" x14ac:dyDescent="0.25">
      <c r="A11" s="58" t="s">
        <v>205</v>
      </c>
      <c r="B11" s="59" t="s">
        <v>202</v>
      </c>
      <c r="C11" s="59">
        <v>2611</v>
      </c>
      <c r="D11" s="59">
        <v>2589</v>
      </c>
      <c r="E11" s="59">
        <v>2573</v>
      </c>
      <c r="F11" s="59">
        <v>2554</v>
      </c>
      <c r="G11" s="59">
        <v>2535</v>
      </c>
      <c r="H11" s="59">
        <v>2518</v>
      </c>
      <c r="I11" s="59">
        <v>2503</v>
      </c>
      <c r="J11" s="59">
        <v>2485</v>
      </c>
      <c r="K11" s="59">
        <v>2466</v>
      </c>
      <c r="L11" s="59">
        <v>2448</v>
      </c>
      <c r="M11" s="59">
        <v>2434</v>
      </c>
      <c r="N11" s="59">
        <v>2418</v>
      </c>
      <c r="O11" s="59">
        <v>2402</v>
      </c>
      <c r="P11" s="59">
        <v>2387</v>
      </c>
      <c r="Q11" s="59">
        <v>2375</v>
      </c>
      <c r="R11" s="59">
        <v>2371</v>
      </c>
      <c r="S11" s="59">
        <v>2355.4659999999999</v>
      </c>
      <c r="T11" s="59">
        <v>2346.1959999999999</v>
      </c>
      <c r="U11" s="59">
        <v>2334.058</v>
      </c>
      <c r="V11" s="59">
        <v>2319.1289999999999</v>
      </c>
      <c r="W11" s="70">
        <v>2301.241</v>
      </c>
      <c r="X11" s="70">
        <v>2286.4580000000001</v>
      </c>
      <c r="Y11" s="70">
        <v>2270.1350000000002</v>
      </c>
      <c r="Z11" s="70">
        <v>2249.6280000000002</v>
      </c>
      <c r="AA11" s="70">
        <v>2232.66</v>
      </c>
      <c r="AB11" s="70">
        <v>2222.1</v>
      </c>
      <c r="AC11" s="70">
        <v>2209.8580000000002</v>
      </c>
      <c r="AD11" s="70">
        <v>2192.83</v>
      </c>
      <c r="AE11" s="70">
        <v>2177.4259999999999</v>
      </c>
      <c r="AF11" s="70">
        <v>2162.502</v>
      </c>
    </row>
    <row r="12" spans="1:36" x14ac:dyDescent="0.25">
      <c r="A12" s="60" t="s">
        <v>206</v>
      </c>
      <c r="B12" s="61" t="s">
        <v>202</v>
      </c>
      <c r="C12" s="61">
        <v>2822</v>
      </c>
      <c r="D12" s="61">
        <v>2803</v>
      </c>
      <c r="E12" s="61">
        <v>2785</v>
      </c>
      <c r="F12" s="61">
        <v>2765</v>
      </c>
      <c r="G12" s="61">
        <v>2747</v>
      </c>
      <c r="H12" s="61">
        <v>2730</v>
      </c>
      <c r="I12" s="61">
        <v>2713</v>
      </c>
      <c r="J12" s="61">
        <v>2695</v>
      </c>
      <c r="K12" s="61">
        <v>2674</v>
      </c>
      <c r="L12" s="61">
        <v>2657</v>
      </c>
      <c r="M12" s="61">
        <v>2641</v>
      </c>
      <c r="N12" s="61">
        <v>2623</v>
      </c>
      <c r="O12" s="61">
        <v>2606</v>
      </c>
      <c r="P12" s="61">
        <v>2588</v>
      </c>
      <c r="Q12" s="61">
        <v>2575</v>
      </c>
      <c r="R12" s="61">
        <v>2569</v>
      </c>
      <c r="S12" s="61">
        <v>2554.8009999999999</v>
      </c>
      <c r="T12" s="61">
        <v>2544.3420000000001</v>
      </c>
      <c r="U12" s="61">
        <v>2531.1019999999999</v>
      </c>
      <c r="V12" s="61">
        <v>2516.1060000000002</v>
      </c>
      <c r="W12" s="73">
        <v>2497.973</v>
      </c>
      <c r="X12" s="73">
        <v>2483.2280000000001</v>
      </c>
      <c r="Y12" s="73">
        <v>2466.3589999999999</v>
      </c>
      <c r="Z12" s="73">
        <v>2451.7930000000001</v>
      </c>
      <c r="AA12" s="73">
        <v>2434.502</v>
      </c>
      <c r="AB12" s="73">
        <v>2423.8620000000001</v>
      </c>
      <c r="AC12" s="73">
        <v>2404.5650000000001</v>
      </c>
      <c r="AD12" s="73">
        <v>2393.8510000000001</v>
      </c>
      <c r="AE12" s="73">
        <v>2378.7570000000001</v>
      </c>
      <c r="AF12" s="73">
        <v>2364.1089999999999</v>
      </c>
      <c r="AI12" s="73"/>
      <c r="AJ12" s="35"/>
    </row>
    <row r="13" spans="1:36" x14ac:dyDescent="0.25">
      <c r="A13" s="58" t="s">
        <v>207</v>
      </c>
      <c r="B13" s="59" t="s">
        <v>208</v>
      </c>
      <c r="C13" s="59">
        <v>36800</v>
      </c>
      <c r="D13" s="59">
        <v>36488</v>
      </c>
      <c r="E13" s="59">
        <v>36097</v>
      </c>
      <c r="F13" s="59">
        <v>35896</v>
      </c>
      <c r="G13" s="59">
        <v>35683</v>
      </c>
      <c r="H13" s="59">
        <v>35690</v>
      </c>
      <c r="I13" s="59">
        <v>33914</v>
      </c>
      <c r="J13" s="59">
        <v>33586</v>
      </c>
      <c r="K13" s="59">
        <v>33494</v>
      </c>
      <c r="L13" s="59">
        <v>33269</v>
      </c>
      <c r="M13" s="59">
        <v>33131</v>
      </c>
      <c r="N13" s="59">
        <v>33093</v>
      </c>
      <c r="O13" s="59">
        <v>32974</v>
      </c>
      <c r="P13" s="59">
        <v>32680</v>
      </c>
      <c r="Q13" s="59">
        <v>32585</v>
      </c>
      <c r="R13" s="59">
        <v>32591</v>
      </c>
      <c r="S13" s="59">
        <v>32589.900509999999</v>
      </c>
      <c r="T13" s="59">
        <v>32431.153460000001</v>
      </c>
      <c r="U13" s="59">
        <v>32240.010760000001</v>
      </c>
      <c r="V13" s="59">
        <v>31829.58684</v>
      </c>
      <c r="W13" s="70">
        <v>31517.77045</v>
      </c>
      <c r="X13" s="70">
        <v>31355.591</v>
      </c>
      <c r="Y13" s="70">
        <v>31276.912950000002</v>
      </c>
      <c r="Z13" s="70">
        <v>31182.573820000001</v>
      </c>
      <c r="AA13" s="70">
        <v>30685.620439999999</v>
      </c>
      <c r="AB13" s="70">
        <v>30598.54305</v>
      </c>
      <c r="AC13" s="70">
        <v>30554.639169999999</v>
      </c>
      <c r="AD13" s="70">
        <v>30514.001059999999</v>
      </c>
      <c r="AE13" s="70">
        <v>30398.697690000001</v>
      </c>
      <c r="AF13" s="70">
        <v>30287.938590000002</v>
      </c>
      <c r="AJ13" s="142"/>
    </row>
    <row r="14" spans="1:36" x14ac:dyDescent="0.25">
      <c r="A14" s="60" t="s">
        <v>209</v>
      </c>
      <c r="B14" s="61" t="s">
        <v>210</v>
      </c>
      <c r="C14" s="61">
        <v>84700</v>
      </c>
      <c r="D14" s="61">
        <v>82141</v>
      </c>
      <c r="E14" s="61">
        <v>336111</v>
      </c>
      <c r="F14" s="61">
        <v>249175</v>
      </c>
      <c r="G14" s="61">
        <v>162113</v>
      </c>
      <c r="H14" s="61">
        <v>80915</v>
      </c>
      <c r="I14" s="61">
        <v>325821</v>
      </c>
      <c r="J14" s="61">
        <v>243740</v>
      </c>
      <c r="K14" s="61">
        <v>157406</v>
      </c>
      <c r="L14" s="61">
        <v>76676</v>
      </c>
      <c r="M14" s="61">
        <v>311143</v>
      </c>
      <c r="N14" s="61">
        <v>227801</v>
      </c>
      <c r="O14" s="61">
        <v>147076</v>
      </c>
      <c r="P14" s="61">
        <v>71719</v>
      </c>
      <c r="Q14" s="61">
        <v>297935</v>
      </c>
      <c r="R14" s="61">
        <v>222245</v>
      </c>
      <c r="S14" s="61">
        <v>143471</v>
      </c>
      <c r="T14" s="61">
        <v>69762</v>
      </c>
      <c r="U14" s="61">
        <v>289077.93699999998</v>
      </c>
      <c r="V14" s="61">
        <v>216574</v>
      </c>
      <c r="W14" s="73">
        <v>140645</v>
      </c>
      <c r="X14" s="73">
        <v>68893</v>
      </c>
      <c r="Y14" s="73">
        <v>284154.93900000001</v>
      </c>
      <c r="Z14" s="73">
        <v>206546.82500000001</v>
      </c>
      <c r="AA14" s="73">
        <v>131893.549</v>
      </c>
      <c r="AB14" s="73">
        <v>65281.697</v>
      </c>
      <c r="AC14" s="73">
        <v>272938</v>
      </c>
      <c r="AD14" s="73">
        <v>200324.13800000001</v>
      </c>
      <c r="AE14" s="73">
        <v>130045.899</v>
      </c>
      <c r="AF14" s="73">
        <v>65384.091</v>
      </c>
    </row>
    <row r="15" spans="1:36" x14ac:dyDescent="0.25">
      <c r="A15" s="58" t="s">
        <v>211</v>
      </c>
      <c r="B15" s="59" t="s">
        <v>210</v>
      </c>
      <c r="C15" s="59">
        <v>109000</v>
      </c>
      <c r="D15" s="59">
        <v>103966</v>
      </c>
      <c r="E15" s="59">
        <v>428161</v>
      </c>
      <c r="F15" s="59">
        <v>318675</v>
      </c>
      <c r="G15" s="59">
        <v>208089</v>
      </c>
      <c r="H15" s="59">
        <v>103111</v>
      </c>
      <c r="I15" s="59">
        <v>424634</v>
      </c>
      <c r="J15" s="59">
        <v>320169</v>
      </c>
      <c r="K15" s="59">
        <v>209099</v>
      </c>
      <c r="L15" s="59">
        <v>102866</v>
      </c>
      <c r="M15" s="59">
        <v>412282</v>
      </c>
      <c r="N15" s="59">
        <v>304423</v>
      </c>
      <c r="O15" s="59">
        <v>197868</v>
      </c>
      <c r="P15" s="59">
        <v>96061</v>
      </c>
      <c r="Q15" s="59">
        <v>399579</v>
      </c>
      <c r="R15" s="59">
        <v>300123</v>
      </c>
      <c r="S15" s="59">
        <v>195900</v>
      </c>
      <c r="T15" s="59">
        <v>96061</v>
      </c>
      <c r="U15" s="59">
        <v>394981.0134</v>
      </c>
      <c r="V15" s="59">
        <v>297115</v>
      </c>
      <c r="W15" s="70">
        <v>192584</v>
      </c>
      <c r="X15" s="70">
        <v>94587</v>
      </c>
      <c r="Y15" s="70">
        <v>387922.64127999998</v>
      </c>
      <c r="Z15" s="70">
        <v>292431.51134999999</v>
      </c>
      <c r="AA15" s="70">
        <v>189088.06210000001</v>
      </c>
      <c r="AB15" s="70">
        <v>93882.290630000003</v>
      </c>
      <c r="AC15" s="70">
        <v>382166</v>
      </c>
      <c r="AD15" s="70">
        <v>289736.01549999998</v>
      </c>
      <c r="AE15" s="70">
        <v>188428.77239999999</v>
      </c>
      <c r="AF15" s="70">
        <v>93029.909150000007</v>
      </c>
    </row>
    <row r="16" spans="1:36" x14ac:dyDescent="0.25">
      <c r="A16" s="60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73"/>
      <c r="X16" s="73"/>
      <c r="Y16" s="73"/>
      <c r="Z16" s="73"/>
      <c r="AA16" s="74"/>
      <c r="AB16" s="74"/>
      <c r="AC16" s="74"/>
      <c r="AD16" s="74"/>
      <c r="AE16" s="74"/>
      <c r="AF16" s="74"/>
    </row>
    <row r="17" spans="1:33" ht="13.5" customHeight="1" x14ac:dyDescent="0.25">
      <c r="A17" s="67" t="s">
        <v>212</v>
      </c>
      <c r="B17" s="68" t="s">
        <v>193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35"/>
    </row>
    <row r="18" spans="1:33" x14ac:dyDescent="0.25">
      <c r="A18" s="58" t="s">
        <v>201</v>
      </c>
      <c r="B18" s="59" t="s">
        <v>202</v>
      </c>
      <c r="C18" s="59">
        <v>4822</v>
      </c>
      <c r="D18" s="59">
        <v>4783</v>
      </c>
      <c r="E18" s="59">
        <v>4761</v>
      </c>
      <c r="F18" s="59">
        <v>4724</v>
      </c>
      <c r="G18" s="59">
        <v>4693</v>
      </c>
      <c r="H18" s="59">
        <v>4665</v>
      </c>
      <c r="I18" s="59">
        <v>4631</v>
      </c>
      <c r="J18" s="59">
        <v>4607</v>
      </c>
      <c r="K18" s="59">
        <v>4578</v>
      </c>
      <c r="L18" s="59">
        <v>4551</v>
      </c>
      <c r="M18" s="59">
        <v>4531</v>
      </c>
      <c r="N18" s="59">
        <v>4473</v>
      </c>
      <c r="O18" s="59">
        <v>4428</v>
      </c>
      <c r="P18" s="59">
        <v>4373</v>
      </c>
      <c r="Q18" s="59">
        <v>4318</v>
      </c>
      <c r="R18" s="59">
        <v>4220</v>
      </c>
      <c r="S18" s="59">
        <v>4163.9764478999996</v>
      </c>
      <c r="T18" s="59">
        <v>4109.5368263</v>
      </c>
      <c r="U18" s="59">
        <v>4064.791095</v>
      </c>
      <c r="V18" s="59">
        <v>4016.2192077999998</v>
      </c>
      <c r="W18" s="70">
        <v>3982.9113874999998</v>
      </c>
      <c r="X18" s="70">
        <v>3932.4441123000001</v>
      </c>
      <c r="Y18" s="70">
        <v>3870.5281599999998</v>
      </c>
      <c r="Z18" s="70">
        <v>3841.3141099999998</v>
      </c>
      <c r="AA18" s="70">
        <v>3795.4895299999998</v>
      </c>
      <c r="AB18" s="70">
        <v>3763.1734099999999</v>
      </c>
      <c r="AC18" s="70">
        <v>3701.1306300000001</v>
      </c>
      <c r="AD18" s="70">
        <v>3636.2958899999999</v>
      </c>
      <c r="AE18" s="70">
        <v>3578.1167799999998</v>
      </c>
      <c r="AF18" s="70">
        <v>3536.1507499999998</v>
      </c>
      <c r="AG18" s="24"/>
    </row>
    <row r="19" spans="1:33" x14ac:dyDescent="0.25">
      <c r="A19" s="60" t="s">
        <v>203</v>
      </c>
      <c r="B19" s="61" t="s">
        <v>204</v>
      </c>
      <c r="C19" s="157">
        <v>0.75570000000000004</v>
      </c>
      <c r="D19" s="157">
        <v>0.75209999999999999</v>
      </c>
      <c r="E19" s="157">
        <v>0.75090000000000001</v>
      </c>
      <c r="F19" s="75">
        <v>0.74760000000000004</v>
      </c>
      <c r="G19" s="75">
        <v>0.74509999999999998</v>
      </c>
      <c r="H19" s="75">
        <v>0.7429</v>
      </c>
      <c r="I19" s="75">
        <v>0.7399</v>
      </c>
      <c r="J19" s="75">
        <v>0.73839999999999995</v>
      </c>
      <c r="K19" s="75">
        <v>0.73619999999999997</v>
      </c>
      <c r="L19" s="75">
        <v>0.73419999999999996</v>
      </c>
      <c r="M19" s="75">
        <v>0.73329999999999995</v>
      </c>
      <c r="N19" s="75">
        <v>0.72570000000000001</v>
      </c>
      <c r="O19" s="75">
        <v>0.72060000000000002</v>
      </c>
      <c r="P19" s="75">
        <v>0.71399999999999997</v>
      </c>
      <c r="Q19" s="75">
        <v>0.70730000000000004</v>
      </c>
      <c r="R19" s="75">
        <v>0.69084782799661304</v>
      </c>
      <c r="S19" s="71">
        <v>0.68383946826616704</v>
      </c>
      <c r="T19" s="76">
        <v>0.67608535085468102</v>
      </c>
      <c r="U19" s="76">
        <v>0.67085635522912601</v>
      </c>
      <c r="V19" s="76">
        <v>0.66513471567262505</v>
      </c>
      <c r="W19" s="72">
        <v>0.66171905862643998</v>
      </c>
      <c r="X19" s="72">
        <v>0.65541369135322902</v>
      </c>
      <c r="Y19" s="72">
        <v>0.64714603096767898</v>
      </c>
      <c r="Z19" s="72">
        <v>0.64400000000000002</v>
      </c>
      <c r="AA19" s="72">
        <v>0.63800000000000001</v>
      </c>
      <c r="AB19" s="72">
        <v>0.63500000000000001</v>
      </c>
      <c r="AC19" s="72">
        <v>0.62678415366515094</v>
      </c>
      <c r="AD19" s="72">
        <v>0.61699999999999999</v>
      </c>
      <c r="AE19" s="72">
        <v>0.60899999999999999</v>
      </c>
      <c r="AF19" s="72">
        <v>0.60399999999999998</v>
      </c>
      <c r="AG19" s="140"/>
    </row>
    <row r="20" spans="1:33" x14ac:dyDescent="0.25">
      <c r="A20" s="58" t="s">
        <v>213</v>
      </c>
      <c r="B20" s="59" t="s">
        <v>204</v>
      </c>
      <c r="C20" s="59"/>
      <c r="D20" s="77">
        <v>0.94920000000000004</v>
      </c>
      <c r="E20" s="77">
        <v>0.94899999999999995</v>
      </c>
      <c r="F20" s="77">
        <v>0.94879999999999998</v>
      </c>
      <c r="G20" s="77">
        <v>0.94889999999999997</v>
      </c>
      <c r="H20" s="77">
        <v>0.94789999999999996</v>
      </c>
      <c r="I20" s="77">
        <v>0.94650000000000001</v>
      </c>
      <c r="J20" s="77">
        <v>0.94650000000000001</v>
      </c>
      <c r="K20" s="77">
        <v>0.94650000000000001</v>
      </c>
      <c r="L20" s="77">
        <v>0.94630000000000003</v>
      </c>
      <c r="M20" s="77">
        <v>0.94159999999999999</v>
      </c>
      <c r="N20" s="77">
        <v>0.93910000000000005</v>
      </c>
      <c r="O20" s="77">
        <v>0.93779999999999997</v>
      </c>
      <c r="P20" s="77">
        <v>0.93569999999999998</v>
      </c>
      <c r="Q20" s="77">
        <v>0.93820000000000003</v>
      </c>
      <c r="R20" s="77">
        <v>0.93869999999999998</v>
      </c>
      <c r="S20" s="77">
        <v>0.93211641170273996</v>
      </c>
      <c r="T20" s="77">
        <v>0.93904128499918005</v>
      </c>
      <c r="U20" s="77">
        <v>0.93571592117098701</v>
      </c>
      <c r="V20" s="77">
        <v>0.93780848290601304</v>
      </c>
      <c r="W20" s="77">
        <v>0.93576080837660303</v>
      </c>
      <c r="X20" s="77">
        <v>0.93416888643366802</v>
      </c>
      <c r="Y20" s="77">
        <v>0.93134870787739699</v>
      </c>
      <c r="Z20" s="77">
        <v>0.6</v>
      </c>
      <c r="AA20" s="77">
        <v>0.59399999999999997</v>
      </c>
      <c r="AB20" s="77">
        <v>0.59099999999999997</v>
      </c>
      <c r="AC20" s="77">
        <v>0.931132925425875</v>
      </c>
      <c r="AD20" s="77">
        <v>0.57399999999999995</v>
      </c>
      <c r="AE20" s="77">
        <v>0.56599999999999995</v>
      </c>
      <c r="AF20" s="77">
        <v>0.56100000000000005</v>
      </c>
    </row>
    <row r="21" spans="1:33" x14ac:dyDescent="0.25">
      <c r="A21" s="60" t="s">
        <v>205</v>
      </c>
      <c r="B21" s="61" t="s">
        <v>202</v>
      </c>
      <c r="C21" s="61">
        <v>1612</v>
      </c>
      <c r="D21" s="162">
        <v>1600</v>
      </c>
      <c r="E21" s="61">
        <v>1587</v>
      </c>
      <c r="F21" s="61">
        <v>1574</v>
      </c>
      <c r="G21" s="61">
        <v>1561</v>
      </c>
      <c r="H21" s="61">
        <v>1550</v>
      </c>
      <c r="I21" s="61">
        <v>1539</v>
      </c>
      <c r="J21" s="61">
        <v>1528</v>
      </c>
      <c r="K21" s="61">
        <v>1517</v>
      </c>
      <c r="L21" s="61">
        <v>1507</v>
      </c>
      <c r="M21" s="61">
        <v>1499</v>
      </c>
      <c r="N21" s="61">
        <v>1473</v>
      </c>
      <c r="O21" s="61">
        <v>1457</v>
      </c>
      <c r="P21" s="61">
        <v>1439</v>
      </c>
      <c r="Q21" s="61">
        <v>1420</v>
      </c>
      <c r="R21" s="61">
        <v>1389</v>
      </c>
      <c r="S21" s="61">
        <v>1369.049</v>
      </c>
      <c r="T21" s="61">
        <v>1350.5619999999999</v>
      </c>
      <c r="U21" s="61">
        <v>1335.7619999999999</v>
      </c>
      <c r="V21" s="61">
        <v>1318.432</v>
      </c>
      <c r="W21" s="73">
        <v>1303.963</v>
      </c>
      <c r="X21" s="73">
        <v>1283.212</v>
      </c>
      <c r="Y21" s="73">
        <v>1260.8879999999999</v>
      </c>
      <c r="Z21" s="73">
        <v>1247.895</v>
      </c>
      <c r="AA21" s="73">
        <v>1233.0060000000001</v>
      </c>
      <c r="AB21" s="73">
        <v>1221.771</v>
      </c>
      <c r="AC21" s="73">
        <v>1201.067</v>
      </c>
      <c r="AD21" s="73">
        <v>1178.01</v>
      </c>
      <c r="AE21" s="73">
        <v>1158.1980000000001</v>
      </c>
      <c r="AF21" s="73">
        <v>1143.579</v>
      </c>
    </row>
    <row r="22" spans="1:33" x14ac:dyDescent="0.25">
      <c r="A22" s="58" t="s">
        <v>206</v>
      </c>
      <c r="B22" s="59" t="s">
        <v>202</v>
      </c>
      <c r="C22" s="59">
        <v>1802</v>
      </c>
      <c r="D22" s="59">
        <v>1792</v>
      </c>
      <c r="E22" s="59">
        <v>1777</v>
      </c>
      <c r="F22" s="59">
        <v>1763</v>
      </c>
      <c r="G22" s="59">
        <v>1751</v>
      </c>
      <c r="H22" s="59">
        <v>1738</v>
      </c>
      <c r="I22" s="59">
        <v>1726</v>
      </c>
      <c r="J22" s="59">
        <v>1715</v>
      </c>
      <c r="K22" s="59">
        <v>1703</v>
      </c>
      <c r="L22" s="59">
        <v>1693</v>
      </c>
      <c r="M22" s="59">
        <v>1684</v>
      </c>
      <c r="N22" s="59">
        <v>1655</v>
      </c>
      <c r="O22" s="59">
        <v>1637</v>
      </c>
      <c r="P22" s="59">
        <v>1616</v>
      </c>
      <c r="Q22" s="59">
        <v>1595</v>
      </c>
      <c r="R22" s="59">
        <v>1560</v>
      </c>
      <c r="S22" s="59">
        <v>1538.9839999999999</v>
      </c>
      <c r="T22" s="59">
        <v>1518.8579999999999</v>
      </c>
      <c r="U22" s="59">
        <v>1502.2550000000001</v>
      </c>
      <c r="V22" s="59">
        <v>1483.5319999999999</v>
      </c>
      <c r="W22" s="70">
        <v>1468.52</v>
      </c>
      <c r="X22" s="70">
        <v>1446.751</v>
      </c>
      <c r="Y22" s="70">
        <v>1423.41</v>
      </c>
      <c r="Z22" s="70">
        <v>1416.0709999999999</v>
      </c>
      <c r="AA22" s="70">
        <v>1399.7239999999999</v>
      </c>
      <c r="AB22" s="70">
        <v>1388.2159999999999</v>
      </c>
      <c r="AC22" s="70">
        <v>1360.3119999999999</v>
      </c>
      <c r="AD22" s="70">
        <v>1342.886</v>
      </c>
      <c r="AE22" s="70">
        <v>1322.88</v>
      </c>
      <c r="AF22" s="70">
        <v>1308.0540000000001</v>
      </c>
    </row>
    <row r="23" spans="1:33" x14ac:dyDescent="0.25">
      <c r="A23" s="60" t="s">
        <v>207</v>
      </c>
      <c r="B23" s="61" t="s">
        <v>208</v>
      </c>
      <c r="C23" s="61">
        <v>20431</v>
      </c>
      <c r="D23" s="61">
        <v>20417</v>
      </c>
      <c r="E23" s="61">
        <v>17543</v>
      </c>
      <c r="F23" s="61">
        <v>17523</v>
      </c>
      <c r="G23" s="61">
        <v>17398</v>
      </c>
      <c r="H23" s="61">
        <v>17417</v>
      </c>
      <c r="I23" s="61">
        <v>17357</v>
      </c>
      <c r="J23" s="61">
        <v>17287</v>
      </c>
      <c r="K23" s="61">
        <v>16490</v>
      </c>
      <c r="L23" s="61">
        <v>16471</v>
      </c>
      <c r="M23" s="61">
        <v>16383</v>
      </c>
      <c r="N23" s="61">
        <v>16363</v>
      </c>
      <c r="O23" s="61">
        <v>16284</v>
      </c>
      <c r="P23" s="61">
        <v>16236</v>
      </c>
      <c r="Q23" s="61">
        <v>15969</v>
      </c>
      <c r="R23" s="61">
        <v>15936</v>
      </c>
      <c r="S23" s="61">
        <v>14927.19463</v>
      </c>
      <c r="T23" s="61">
        <v>14816.56817</v>
      </c>
      <c r="U23" s="61">
        <v>14789.94821</v>
      </c>
      <c r="V23" s="61">
        <v>14556.793600000001</v>
      </c>
      <c r="W23" s="73">
        <v>13666.35312</v>
      </c>
      <c r="X23" s="73">
        <v>13662.3806</v>
      </c>
      <c r="Y23" s="73">
        <v>13270.914720000001</v>
      </c>
      <c r="Z23" s="73">
        <v>13264.05925</v>
      </c>
      <c r="AA23" s="73">
        <v>13170.96528</v>
      </c>
      <c r="AB23" s="73">
        <v>13169.75174</v>
      </c>
      <c r="AC23" s="73">
        <v>13163.15257</v>
      </c>
      <c r="AD23" s="73">
        <v>12899.333140000001</v>
      </c>
      <c r="AE23" s="73">
        <v>12881.259669999999</v>
      </c>
      <c r="AF23" s="73">
        <v>12853.04076</v>
      </c>
    </row>
    <row r="24" spans="1:33" ht="12" customHeight="1" x14ac:dyDescent="0.25">
      <c r="A24" s="58" t="s">
        <v>209</v>
      </c>
      <c r="B24" s="59" t="s">
        <v>210</v>
      </c>
      <c r="C24" s="59">
        <v>56400</v>
      </c>
      <c r="D24" s="59">
        <v>55156</v>
      </c>
      <c r="E24" s="59">
        <v>223194</v>
      </c>
      <c r="F24" s="59">
        <v>165630</v>
      </c>
      <c r="G24" s="59">
        <v>108420</v>
      </c>
      <c r="H24" s="59">
        <v>54189</v>
      </c>
      <c r="I24" s="59">
        <v>216930</v>
      </c>
      <c r="J24" s="59">
        <v>162263</v>
      </c>
      <c r="K24" s="59">
        <v>105598</v>
      </c>
      <c r="L24" s="59">
        <v>51665</v>
      </c>
      <c r="M24" s="59">
        <v>205031</v>
      </c>
      <c r="N24" s="59">
        <v>150214</v>
      </c>
      <c r="O24" s="59">
        <v>97440</v>
      </c>
      <c r="P24" s="59">
        <v>47554</v>
      </c>
      <c r="Q24" s="59">
        <v>190027</v>
      </c>
      <c r="R24" s="59">
        <v>140894</v>
      </c>
      <c r="S24" s="59">
        <v>91268</v>
      </c>
      <c r="T24" s="59">
        <v>44506</v>
      </c>
      <c r="U24" s="59">
        <v>179131.50099999999</v>
      </c>
      <c r="V24" s="59">
        <v>133667</v>
      </c>
      <c r="W24" s="70">
        <v>87153</v>
      </c>
      <c r="X24" s="70">
        <v>42640</v>
      </c>
      <c r="Y24" s="70">
        <v>171803.989</v>
      </c>
      <c r="Z24" s="70">
        <v>126337.094</v>
      </c>
      <c r="AA24" s="70">
        <v>81356.955000000002</v>
      </c>
      <c r="AB24" s="70">
        <v>40437.400999999998</v>
      </c>
      <c r="AC24" s="70">
        <v>161741</v>
      </c>
      <c r="AD24" s="70">
        <v>119817.389</v>
      </c>
      <c r="AE24" s="70">
        <v>78065.245999999999</v>
      </c>
      <c r="AF24" s="70">
        <v>38994.815000000002</v>
      </c>
    </row>
    <row r="25" spans="1:33" x14ac:dyDescent="0.25">
      <c r="A25" s="60" t="s">
        <v>214</v>
      </c>
      <c r="B25" s="61" t="s">
        <v>210</v>
      </c>
      <c r="C25" s="61">
        <v>53600</v>
      </c>
      <c r="D25" s="61">
        <v>52375</v>
      </c>
      <c r="E25" s="61">
        <v>211810</v>
      </c>
      <c r="F25" s="61">
        <v>157153</v>
      </c>
      <c r="G25" s="61">
        <v>102828</v>
      </c>
      <c r="H25" s="61">
        <v>51368</v>
      </c>
      <c r="I25" s="61">
        <v>205325</v>
      </c>
      <c r="J25" s="61">
        <v>153582</v>
      </c>
      <c r="K25" s="61">
        <v>99945</v>
      </c>
      <c r="L25" s="61">
        <v>48881</v>
      </c>
      <c r="M25" s="61">
        <v>193072</v>
      </c>
      <c r="N25" s="61">
        <v>141230</v>
      </c>
      <c r="O25" s="61">
        <v>91383</v>
      </c>
      <c r="P25" s="61">
        <v>44498</v>
      </c>
      <c r="Q25" s="61">
        <v>178281</v>
      </c>
      <c r="R25" s="61">
        <v>125022</v>
      </c>
      <c r="S25" s="61">
        <v>85303</v>
      </c>
      <c r="T25" s="61">
        <v>41672</v>
      </c>
      <c r="U25" s="61">
        <v>167588.23499999999</v>
      </c>
      <c r="V25" s="61">
        <v>125022</v>
      </c>
      <c r="W25" s="73">
        <v>81433</v>
      </c>
      <c r="X25" s="73">
        <v>39792</v>
      </c>
      <c r="Y25" s="73">
        <v>160328.378</v>
      </c>
      <c r="Z25" s="73">
        <v>117108.7519052</v>
      </c>
      <c r="AA25" s="73">
        <v>75424.673888399993</v>
      </c>
      <c r="AB25" s="73">
        <v>37472.522842099999</v>
      </c>
      <c r="AC25" s="73">
        <v>150731</v>
      </c>
      <c r="AD25" s="73">
        <v>111038.26049499999</v>
      </c>
      <c r="AE25" s="73">
        <v>72279.055352700001</v>
      </c>
      <c r="AF25" s="73">
        <v>36071.542892099998</v>
      </c>
    </row>
    <row r="26" spans="1:33" x14ac:dyDescent="0.25">
      <c r="A26" s="58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27"/>
      <c r="AB26" s="27"/>
      <c r="AC26" s="27"/>
      <c r="AD26" s="27"/>
      <c r="AE26" s="27"/>
      <c r="AF26" s="27"/>
    </row>
    <row r="27" spans="1:33" ht="12" customHeight="1" x14ac:dyDescent="0.25">
      <c r="A27" s="67" t="s">
        <v>215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21"/>
      <c r="Z27" s="21"/>
      <c r="AA27" s="21"/>
      <c r="AB27" s="21"/>
      <c r="AC27" s="21"/>
      <c r="AD27" s="21"/>
      <c r="AE27" s="21"/>
      <c r="AF27" s="21"/>
    </row>
    <row r="28" spans="1:33" x14ac:dyDescent="0.25">
      <c r="A28" s="58" t="s">
        <v>216</v>
      </c>
      <c r="B28" s="59" t="s">
        <v>217</v>
      </c>
      <c r="C28" s="59">
        <v>5313</v>
      </c>
      <c r="D28" s="59">
        <v>5320</v>
      </c>
      <c r="E28" s="59">
        <v>5339</v>
      </c>
      <c r="F28" s="59">
        <v>5369</v>
      </c>
      <c r="G28" s="59">
        <v>5377</v>
      </c>
      <c r="H28" s="59">
        <v>5275</v>
      </c>
      <c r="I28" s="59">
        <v>5302</v>
      </c>
      <c r="J28" s="59">
        <v>5305</v>
      </c>
      <c r="K28" s="59">
        <v>5319</v>
      </c>
      <c r="L28" s="59">
        <v>5337</v>
      </c>
      <c r="M28" s="59">
        <v>5367</v>
      </c>
      <c r="N28" s="59">
        <v>5371</v>
      </c>
      <c r="O28" s="59">
        <v>5391</v>
      </c>
      <c r="P28" s="59">
        <v>5404</v>
      </c>
      <c r="Q28" s="59">
        <v>5424</v>
      </c>
      <c r="R28" s="59">
        <v>5442</v>
      </c>
      <c r="S28" s="59">
        <v>5386</v>
      </c>
      <c r="T28" s="59">
        <v>5558</v>
      </c>
      <c r="U28" s="59">
        <v>5751</v>
      </c>
      <c r="V28" s="59">
        <v>5832</v>
      </c>
      <c r="W28" s="70">
        <v>5859</v>
      </c>
      <c r="X28" s="70">
        <v>5831</v>
      </c>
      <c r="Y28" s="70">
        <v>5816</v>
      </c>
      <c r="Z28" s="70">
        <v>5836</v>
      </c>
      <c r="AA28" s="70">
        <v>5818</v>
      </c>
      <c r="AB28" s="70">
        <v>5836</v>
      </c>
      <c r="AC28" s="70">
        <v>5822</v>
      </c>
      <c r="AD28" s="70">
        <v>5844</v>
      </c>
      <c r="AE28" s="70">
        <v>5867</v>
      </c>
      <c r="AF28" s="70">
        <v>5812</v>
      </c>
    </row>
    <row r="29" spans="1:33" ht="12" customHeight="1" x14ac:dyDescent="0.25">
      <c r="A29" s="60" t="s">
        <v>218</v>
      </c>
      <c r="B29" s="61" t="s">
        <v>217</v>
      </c>
      <c r="C29" s="61">
        <v>795</v>
      </c>
      <c r="D29" s="162">
        <f>((D11+D21)/D28)*1000</f>
        <v>787.40601503759399</v>
      </c>
      <c r="E29" s="61">
        <v>779</v>
      </c>
      <c r="F29" s="61">
        <v>769</v>
      </c>
      <c r="G29" s="61">
        <v>762</v>
      </c>
      <c r="H29" s="61">
        <v>771</v>
      </c>
      <c r="I29" s="61">
        <v>762</v>
      </c>
      <c r="J29" s="61">
        <v>757</v>
      </c>
      <c r="K29" s="61">
        <v>749</v>
      </c>
      <c r="L29" s="61">
        <v>741</v>
      </c>
      <c r="M29" s="61">
        <v>733</v>
      </c>
      <c r="N29" s="61">
        <v>724</v>
      </c>
      <c r="O29" s="61">
        <v>716</v>
      </c>
      <c r="P29" s="61">
        <v>664</v>
      </c>
      <c r="Q29" s="61">
        <v>693</v>
      </c>
      <c r="R29" s="61">
        <v>691</v>
      </c>
      <c r="S29" s="61">
        <v>692</v>
      </c>
      <c r="T29" s="61">
        <v>665</v>
      </c>
      <c r="U29" s="61">
        <v>639</v>
      </c>
      <c r="V29" s="61">
        <v>624</v>
      </c>
      <c r="W29" s="73">
        <v>615</v>
      </c>
      <c r="X29" s="73">
        <v>601.4</v>
      </c>
      <c r="Y29" s="73">
        <v>608</v>
      </c>
      <c r="Z29" s="73">
        <v>599</v>
      </c>
      <c r="AA29" s="73">
        <v>596</v>
      </c>
      <c r="AB29" s="73">
        <v>590</v>
      </c>
      <c r="AC29" s="73">
        <v>586</v>
      </c>
      <c r="AD29" s="73">
        <v>577</v>
      </c>
      <c r="AE29" s="73">
        <v>558</v>
      </c>
      <c r="AF29" s="73">
        <v>568</v>
      </c>
    </row>
    <row r="30" spans="1:33" x14ac:dyDescent="0.25">
      <c r="A30" s="58" t="s">
        <v>219</v>
      </c>
      <c r="B30" s="59" t="s">
        <v>217</v>
      </c>
      <c r="C30" s="59">
        <v>870</v>
      </c>
      <c r="D30" s="59">
        <v>864</v>
      </c>
      <c r="E30" s="59">
        <v>855</v>
      </c>
      <c r="F30" s="59">
        <v>843</v>
      </c>
      <c r="G30" s="59">
        <v>836</v>
      </c>
      <c r="H30" s="59">
        <v>847</v>
      </c>
      <c r="I30" s="59">
        <v>837</v>
      </c>
      <c r="J30" s="59">
        <v>831</v>
      </c>
      <c r="K30" s="59">
        <v>823</v>
      </c>
      <c r="L30" s="59">
        <v>815</v>
      </c>
      <c r="M30" s="59">
        <v>806</v>
      </c>
      <c r="N30" s="59">
        <v>796</v>
      </c>
      <c r="O30" s="59">
        <v>787</v>
      </c>
      <c r="P30" s="59">
        <v>730</v>
      </c>
      <c r="Q30" s="59">
        <v>761</v>
      </c>
      <c r="R30" s="59">
        <v>759</v>
      </c>
      <c r="S30" s="59">
        <v>760</v>
      </c>
      <c r="T30" s="59">
        <v>731</v>
      </c>
      <c r="U30" s="59">
        <v>703</v>
      </c>
      <c r="V30" s="59">
        <v>658</v>
      </c>
      <c r="W30" s="70">
        <v>677</v>
      </c>
      <c r="X30" s="70">
        <v>674.83</v>
      </c>
      <c r="Y30" s="70">
        <v>670</v>
      </c>
      <c r="Z30" s="70">
        <v>663</v>
      </c>
      <c r="AA30" s="70">
        <v>659</v>
      </c>
      <c r="AB30" s="70">
        <v>653</v>
      </c>
      <c r="AC30" s="70">
        <v>648</v>
      </c>
      <c r="AD30" s="70">
        <v>639</v>
      </c>
      <c r="AE30" s="70">
        <v>631</v>
      </c>
      <c r="AF30" s="70">
        <v>633</v>
      </c>
    </row>
    <row r="31" spans="1:33" ht="12" customHeight="1" x14ac:dyDescent="0.25">
      <c r="A31" s="60" t="s">
        <v>220</v>
      </c>
      <c r="B31" s="78" t="s">
        <v>204</v>
      </c>
      <c r="C31" s="78">
        <v>0.21540000000000001</v>
      </c>
      <c r="D31" s="78">
        <v>0.2167</v>
      </c>
      <c r="E31" s="78">
        <v>0.2185</v>
      </c>
      <c r="F31" s="71">
        <v>0.2215</v>
      </c>
      <c r="G31" s="71">
        <v>0.22359999999999999</v>
      </c>
      <c r="H31" s="71">
        <v>0.22670000000000001</v>
      </c>
      <c r="I31" s="71">
        <v>0.2354</v>
      </c>
      <c r="J31" s="71">
        <v>0.23830000000000001</v>
      </c>
      <c r="K31" s="71">
        <v>0.2442</v>
      </c>
      <c r="L31" s="71">
        <v>0.2482</v>
      </c>
      <c r="M31" s="71">
        <v>0.25</v>
      </c>
      <c r="N31" s="71">
        <v>0.25409999999999999</v>
      </c>
      <c r="O31" s="71">
        <v>0.25509999999999999</v>
      </c>
      <c r="P31" s="71">
        <v>0.25719999999999998</v>
      </c>
      <c r="Q31" s="71">
        <v>0.2621</v>
      </c>
      <c r="R31" s="71">
        <v>0.26690000000000003</v>
      </c>
      <c r="S31" s="71">
        <v>0.27289999999999998</v>
      </c>
      <c r="T31" s="71">
        <v>0.2737</v>
      </c>
      <c r="U31" s="71">
        <v>0.27129999999999999</v>
      </c>
      <c r="V31" s="71">
        <v>0.26529999999999998</v>
      </c>
      <c r="W31" s="71">
        <v>0.26319999999999999</v>
      </c>
      <c r="X31" s="71">
        <v>0.26719999999999999</v>
      </c>
      <c r="Y31" s="71">
        <v>0.26900000000000002</v>
      </c>
      <c r="Z31" s="71">
        <v>0.27650000000000002</v>
      </c>
      <c r="AA31" s="71">
        <v>0.28320000000000001</v>
      </c>
      <c r="AB31" s="71">
        <v>0.28770000000000001</v>
      </c>
      <c r="AC31" s="71">
        <v>0.28489999999999999</v>
      </c>
      <c r="AD31" s="71">
        <v>0.2913</v>
      </c>
      <c r="AE31" s="71">
        <v>0.29330000000000001</v>
      </c>
      <c r="AF31" s="71">
        <v>0.29520000000000002</v>
      </c>
    </row>
    <row r="32" spans="1:33" x14ac:dyDescent="0.25">
      <c r="A32" s="58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9"/>
      <c r="AB32" s="79"/>
      <c r="AC32" s="79"/>
      <c r="AD32" s="79"/>
      <c r="AE32" s="79"/>
      <c r="AF32" s="79"/>
    </row>
    <row r="33" spans="1:32" ht="12" customHeight="1" x14ac:dyDescent="0.25">
      <c r="A33" s="67" t="s">
        <v>221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21"/>
      <c r="Z33" s="21"/>
      <c r="AA33" s="21"/>
      <c r="AB33" s="21"/>
      <c r="AC33" s="21"/>
      <c r="AD33" s="21"/>
      <c r="AE33" s="21"/>
      <c r="AF33" s="21"/>
    </row>
    <row r="34" spans="1:32" x14ac:dyDescent="0.25">
      <c r="A34" s="58" t="s">
        <v>222</v>
      </c>
      <c r="B34" s="59" t="s">
        <v>217</v>
      </c>
      <c r="C34" s="59">
        <v>223</v>
      </c>
      <c r="D34" s="59">
        <v>223</v>
      </c>
      <c r="E34" s="59">
        <v>223</v>
      </c>
      <c r="F34" s="59">
        <v>223</v>
      </c>
      <c r="G34" s="59">
        <v>223</v>
      </c>
      <c r="H34" s="59">
        <f>I34</f>
        <v>223</v>
      </c>
      <c r="I34" s="59">
        <f>J34</f>
        <v>223</v>
      </c>
      <c r="J34" s="59">
        <f>K34</f>
        <v>223</v>
      </c>
      <c r="K34" s="59">
        <f>L34</f>
        <v>223</v>
      </c>
      <c r="L34" s="59">
        <v>223</v>
      </c>
      <c r="M34" s="59">
        <v>223</v>
      </c>
      <c r="N34" s="59">
        <v>223</v>
      </c>
      <c r="O34" s="59">
        <v>224</v>
      </c>
      <c r="P34" s="59">
        <v>224</v>
      </c>
      <c r="Q34" s="59">
        <v>224</v>
      </c>
      <c r="R34" s="59">
        <v>225</v>
      </c>
      <c r="S34" s="59">
        <v>225</v>
      </c>
      <c r="T34" s="59">
        <v>225</v>
      </c>
      <c r="U34" s="59">
        <v>226</v>
      </c>
      <c r="V34" s="59">
        <v>226</v>
      </c>
      <c r="W34" s="59">
        <v>226</v>
      </c>
      <c r="X34" s="59">
        <v>226</v>
      </c>
      <c r="Y34" s="27">
        <v>226</v>
      </c>
      <c r="Z34" s="27">
        <v>226</v>
      </c>
      <c r="AA34" s="27">
        <v>226</v>
      </c>
      <c r="AB34" s="27">
        <v>226</v>
      </c>
      <c r="AC34" s="27">
        <v>226</v>
      </c>
      <c r="AD34" s="27">
        <v>226</v>
      </c>
      <c r="AE34" s="27">
        <v>226</v>
      </c>
      <c r="AF34" s="27">
        <v>226</v>
      </c>
    </row>
    <row r="35" spans="1:32" x14ac:dyDescent="0.25">
      <c r="A35" s="60" t="s">
        <v>223</v>
      </c>
      <c r="B35" s="61" t="s">
        <v>217</v>
      </c>
      <c r="C35" s="61">
        <v>62</v>
      </c>
      <c r="D35" s="61">
        <v>62</v>
      </c>
      <c r="E35" s="61">
        <v>62</v>
      </c>
      <c r="F35" s="61">
        <v>62</v>
      </c>
      <c r="G35" s="61">
        <v>62</v>
      </c>
      <c r="H35" s="61">
        <f t="shared" ref="H35:K37" si="0">I35</f>
        <v>62</v>
      </c>
      <c r="I35" s="61">
        <f t="shared" si="0"/>
        <v>62</v>
      </c>
      <c r="J35" s="61">
        <f t="shared" si="0"/>
        <v>62</v>
      </c>
      <c r="K35" s="61">
        <f t="shared" si="0"/>
        <v>62</v>
      </c>
      <c r="L35" s="61">
        <v>62</v>
      </c>
      <c r="M35" s="61">
        <v>62</v>
      </c>
      <c r="N35" s="61">
        <v>62</v>
      </c>
      <c r="O35" s="61">
        <v>62</v>
      </c>
      <c r="P35" s="61">
        <v>62</v>
      </c>
      <c r="Q35" s="61">
        <v>62</v>
      </c>
      <c r="R35" s="61">
        <v>62</v>
      </c>
      <c r="S35" s="61">
        <v>62</v>
      </c>
      <c r="T35" s="61">
        <v>62</v>
      </c>
      <c r="U35" s="61">
        <v>62</v>
      </c>
      <c r="V35" s="61">
        <v>62</v>
      </c>
      <c r="W35" s="61">
        <v>62</v>
      </c>
      <c r="X35" s="61">
        <v>62</v>
      </c>
      <c r="Y35" s="61">
        <v>62</v>
      </c>
      <c r="Z35" s="61">
        <v>62</v>
      </c>
      <c r="AA35" s="19">
        <v>62</v>
      </c>
      <c r="AB35" s="19">
        <v>61</v>
      </c>
      <c r="AC35" s="19">
        <v>60</v>
      </c>
      <c r="AD35" s="19">
        <v>57</v>
      </c>
      <c r="AE35" s="19">
        <v>57</v>
      </c>
      <c r="AF35" s="19">
        <v>57</v>
      </c>
    </row>
    <row r="36" spans="1:32" ht="12" customHeight="1" x14ac:dyDescent="0.25">
      <c r="A36" s="58" t="s">
        <v>224</v>
      </c>
      <c r="B36" s="59" t="s">
        <v>217</v>
      </c>
      <c r="C36" s="59">
        <v>80</v>
      </c>
      <c r="D36" s="59">
        <v>80</v>
      </c>
      <c r="E36" s="59">
        <v>80</v>
      </c>
      <c r="F36" s="59">
        <v>80</v>
      </c>
      <c r="G36" s="59">
        <v>80</v>
      </c>
      <c r="H36" s="59">
        <f t="shared" si="0"/>
        <v>80</v>
      </c>
      <c r="I36" s="59">
        <f t="shared" si="0"/>
        <v>80</v>
      </c>
      <c r="J36" s="59">
        <f t="shared" si="0"/>
        <v>80</v>
      </c>
      <c r="K36" s="59">
        <f t="shared" si="0"/>
        <v>80</v>
      </c>
      <c r="L36" s="59">
        <v>80</v>
      </c>
      <c r="M36" s="59">
        <v>80</v>
      </c>
      <c r="N36" s="59">
        <v>161</v>
      </c>
      <c r="O36" s="59">
        <v>162</v>
      </c>
      <c r="P36" s="59">
        <v>162</v>
      </c>
      <c r="Q36" s="59">
        <v>162</v>
      </c>
      <c r="R36" s="59">
        <v>163</v>
      </c>
      <c r="S36" s="59">
        <v>163</v>
      </c>
      <c r="T36" s="59">
        <v>163</v>
      </c>
      <c r="U36" s="59">
        <v>164</v>
      </c>
      <c r="V36" s="59">
        <v>164</v>
      </c>
      <c r="W36" s="59">
        <v>164</v>
      </c>
      <c r="X36" s="59">
        <v>164</v>
      </c>
      <c r="Y36" s="59">
        <v>164</v>
      </c>
      <c r="Z36" s="59">
        <v>164</v>
      </c>
      <c r="AA36" s="27">
        <v>164</v>
      </c>
      <c r="AB36" s="27">
        <v>165</v>
      </c>
      <c r="AC36" s="27">
        <v>166</v>
      </c>
      <c r="AD36" s="27">
        <v>169</v>
      </c>
      <c r="AE36" s="27">
        <v>169</v>
      </c>
      <c r="AF36" s="27">
        <v>169</v>
      </c>
    </row>
    <row r="37" spans="1:32" x14ac:dyDescent="0.25">
      <c r="A37" s="60" t="s">
        <v>256</v>
      </c>
      <c r="B37" s="61" t="s">
        <v>217</v>
      </c>
      <c r="C37" s="61">
        <v>81</v>
      </c>
      <c r="D37" s="61">
        <v>81</v>
      </c>
      <c r="E37" s="61">
        <v>81</v>
      </c>
      <c r="F37" s="61">
        <v>81</v>
      </c>
      <c r="G37" s="61">
        <v>81</v>
      </c>
      <c r="H37" s="61">
        <f t="shared" si="0"/>
        <v>81</v>
      </c>
      <c r="I37" s="61">
        <f t="shared" si="0"/>
        <v>81</v>
      </c>
      <c r="J37" s="61">
        <f t="shared" si="0"/>
        <v>81</v>
      </c>
      <c r="K37" s="61">
        <f t="shared" si="0"/>
        <v>81</v>
      </c>
      <c r="L37" s="61">
        <v>81</v>
      </c>
      <c r="M37" s="61">
        <v>81</v>
      </c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19"/>
      <c r="AB37" s="19"/>
      <c r="AC37" s="19"/>
      <c r="AD37" s="19"/>
      <c r="AE37" s="19"/>
      <c r="AF37" s="19"/>
    </row>
    <row r="39" spans="1:32" x14ac:dyDescent="0.25">
      <c r="A39" s="67" t="s">
        <v>277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21"/>
      <c r="Z39" s="21"/>
      <c r="AA39" s="21"/>
      <c r="AB39" s="21"/>
      <c r="AC39" s="21"/>
      <c r="AD39" s="21"/>
      <c r="AE39" s="21"/>
      <c r="AF39" s="21"/>
    </row>
    <row r="40" spans="1:32" x14ac:dyDescent="0.25">
      <c r="A40" t="s">
        <v>225</v>
      </c>
      <c r="B40" s="80" t="s">
        <v>202</v>
      </c>
      <c r="C40" s="80">
        <v>1799282</v>
      </c>
      <c r="D40" s="80">
        <v>963004</v>
      </c>
      <c r="E40" s="80">
        <v>3823483</v>
      </c>
      <c r="F40" s="80">
        <v>2791244</v>
      </c>
      <c r="G40" s="80">
        <v>1809707</v>
      </c>
      <c r="H40" s="80">
        <v>918402</v>
      </c>
      <c r="I40" s="80">
        <v>3654113</v>
      </c>
      <c r="J40" s="80">
        <v>2699065</v>
      </c>
      <c r="K40" s="80">
        <v>1711086</v>
      </c>
      <c r="L40" s="80">
        <f>839167959.339996/1000</f>
        <v>839167.95933999598</v>
      </c>
      <c r="M40" s="80">
        <v>3263617</v>
      </c>
      <c r="N40" s="80">
        <f>2348120477.91999/1000</f>
        <v>2348120.4779199902</v>
      </c>
      <c r="O40" s="80">
        <v>1510673</v>
      </c>
      <c r="P40" s="80">
        <v>728054</v>
      </c>
      <c r="Q40" s="80">
        <v>2996351.2748499899</v>
      </c>
      <c r="R40" s="80">
        <v>2199348</v>
      </c>
      <c r="S40" s="81">
        <v>1419638</v>
      </c>
      <c r="T40" s="80">
        <v>674792</v>
      </c>
      <c r="U40" s="80">
        <v>2834731.8519100002</v>
      </c>
      <c r="V40" s="80">
        <v>2004038</v>
      </c>
      <c r="W40" s="29">
        <v>1287998.35405</v>
      </c>
      <c r="X40" s="29">
        <v>634960.76882999903</v>
      </c>
      <c r="Y40" s="29">
        <v>2504841.7484800001</v>
      </c>
      <c r="Z40" s="29">
        <v>1794244.02293</v>
      </c>
      <c r="AA40" s="29">
        <v>1146567.5837099999</v>
      </c>
      <c r="AB40" s="29">
        <v>603807.78225000098</v>
      </c>
      <c r="AC40" s="29">
        <v>2398721.7444500001</v>
      </c>
      <c r="AD40" s="29">
        <v>1735690.0571300001</v>
      </c>
      <c r="AE40" s="29">
        <v>1115558.75679</v>
      </c>
      <c r="AF40" s="29">
        <v>557887.19467999996</v>
      </c>
    </row>
    <row r="41" spans="1:32" x14ac:dyDescent="0.25"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x14ac:dyDescent="0.25">
      <c r="A42" s="67" t="s">
        <v>226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21"/>
      <c r="Z42" s="21"/>
      <c r="AA42" s="21"/>
      <c r="AB42" s="21"/>
      <c r="AC42" s="21"/>
      <c r="AD42" s="21"/>
      <c r="AE42" s="21"/>
      <c r="AF42" s="21"/>
    </row>
    <row r="43" spans="1:32" x14ac:dyDescent="0.25">
      <c r="A43" t="s">
        <v>227</v>
      </c>
      <c r="B43" s="36" t="s">
        <v>204</v>
      </c>
      <c r="C43" s="130">
        <v>0</v>
      </c>
      <c r="D43" s="36">
        <v>4.8499999999999996</v>
      </c>
      <c r="E43" s="130">
        <v>0</v>
      </c>
      <c r="F43" s="130">
        <v>0</v>
      </c>
      <c r="G43" s="130">
        <v>0</v>
      </c>
      <c r="H43" s="82">
        <v>4.19E-2</v>
      </c>
      <c r="I43" s="82" t="s">
        <v>17</v>
      </c>
      <c r="J43" s="82" t="s">
        <v>17</v>
      </c>
      <c r="K43" s="82" t="s">
        <v>17</v>
      </c>
      <c r="L43" s="82">
        <v>1.95E-2</v>
      </c>
      <c r="M43" s="82" t="s">
        <v>17</v>
      </c>
      <c r="N43" s="82" t="s">
        <v>17</v>
      </c>
      <c r="O43" s="82" t="s">
        <v>17</v>
      </c>
      <c r="P43" s="82">
        <v>7.0199999999999999E-2</v>
      </c>
      <c r="Q43" s="82" t="s">
        <v>17</v>
      </c>
      <c r="R43" s="83" t="s">
        <v>17</v>
      </c>
      <c r="S43" s="84" t="s">
        <v>17</v>
      </c>
      <c r="T43" s="84">
        <v>8.8499999999999995E-2</v>
      </c>
      <c r="U43" s="83" t="s">
        <v>17</v>
      </c>
      <c r="V43" s="83" t="s">
        <v>17</v>
      </c>
      <c r="W43" s="83" t="s">
        <v>17</v>
      </c>
      <c r="X43" s="83" t="s">
        <v>17</v>
      </c>
      <c r="Y43" s="83" t="s">
        <v>17</v>
      </c>
      <c r="Z43" s="83"/>
      <c r="AA43" s="83"/>
      <c r="AB43" s="83"/>
      <c r="AC43" s="84">
        <v>5.79E-2</v>
      </c>
      <c r="AD43" s="83"/>
      <c r="AE43" s="83"/>
      <c r="AF43" s="83"/>
    </row>
  </sheetData>
  <phoneticPr fontId="29" type="noConversion"/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3"/>
  <sheetViews>
    <sheetView showRowColHeaders="0" topLeftCell="A25" zoomScaleNormal="100" workbookViewId="0">
      <selection activeCell="B40" sqref="B40"/>
    </sheetView>
  </sheetViews>
  <sheetFormatPr defaultColWidth="8.7109375" defaultRowHeight="15" x14ac:dyDescent="0.25"/>
  <cols>
    <col min="1" max="1" width="72.7109375" customWidth="1"/>
    <col min="2" max="2" width="14.42578125" customWidth="1"/>
    <col min="3" max="3" width="20.85546875" customWidth="1"/>
    <col min="5" max="5" width="13.140625" customWidth="1"/>
    <col min="6" max="16" width="11.28515625" customWidth="1"/>
  </cols>
  <sheetData>
    <row r="1" spans="1:16" x14ac:dyDescent="0.25">
      <c r="F1" t="s">
        <v>228</v>
      </c>
    </row>
    <row r="2" spans="1:16" ht="15" customHeight="1" x14ac:dyDescent="0.25">
      <c r="F2" s="164" t="s">
        <v>200</v>
      </c>
      <c r="G2" s="164"/>
      <c r="H2" s="164"/>
      <c r="I2" s="164"/>
      <c r="J2" s="164"/>
      <c r="K2" s="164" t="s">
        <v>212</v>
      </c>
      <c r="L2" s="164"/>
      <c r="M2" s="164"/>
      <c r="N2" s="164"/>
      <c r="O2" s="164"/>
      <c r="P2" s="164"/>
    </row>
    <row r="3" spans="1:16" ht="25.5" x14ac:dyDescent="0.25">
      <c r="F3" s="86" t="s">
        <v>229</v>
      </c>
      <c r="G3" s="86" t="s">
        <v>204</v>
      </c>
      <c r="H3" s="86" t="s">
        <v>230</v>
      </c>
      <c r="I3" s="86" t="s">
        <v>231</v>
      </c>
      <c r="J3" s="86" t="s">
        <v>232</v>
      </c>
      <c r="K3" s="86" t="s">
        <v>229</v>
      </c>
      <c r="L3" s="86" t="s">
        <v>204</v>
      </c>
      <c r="M3" s="86" t="s">
        <v>230</v>
      </c>
      <c r="N3" s="86" t="s">
        <v>231</v>
      </c>
      <c r="O3" s="86" t="s">
        <v>232</v>
      </c>
      <c r="P3" s="86" t="s">
        <v>233</v>
      </c>
    </row>
    <row r="4" spans="1:16" x14ac:dyDescent="0.25">
      <c r="F4" s="87">
        <v>5892744.7800000003</v>
      </c>
      <c r="G4" s="88">
        <v>97.5</v>
      </c>
      <c r="H4" s="87">
        <v>31829586.84</v>
      </c>
      <c r="I4" s="87">
        <v>2317661</v>
      </c>
      <c r="J4" s="87">
        <v>2515396</v>
      </c>
      <c r="K4" s="87">
        <v>4016218.86</v>
      </c>
      <c r="L4" s="88">
        <v>66.5</v>
      </c>
      <c r="M4" s="87">
        <v>14556793.6</v>
      </c>
      <c r="N4" s="87">
        <v>1318445</v>
      </c>
      <c r="O4" s="87">
        <v>1484183</v>
      </c>
      <c r="P4" s="89">
        <v>62.1</v>
      </c>
    </row>
    <row r="6" spans="1:16" ht="15" customHeight="1" x14ac:dyDescent="0.25">
      <c r="F6" s="164" t="s">
        <v>200</v>
      </c>
      <c r="G6" s="164"/>
      <c r="H6" s="164"/>
      <c r="I6" s="164"/>
      <c r="J6" s="164" t="s">
        <v>212</v>
      </c>
      <c r="K6" s="164"/>
      <c r="L6" s="164"/>
      <c r="M6" s="164"/>
      <c r="N6" s="164"/>
    </row>
    <row r="7" spans="1:16" ht="25.5" x14ac:dyDescent="0.25">
      <c r="F7" s="85" t="s">
        <v>234</v>
      </c>
      <c r="G7" s="85" t="s">
        <v>235</v>
      </c>
      <c r="H7" s="85" t="s">
        <v>236</v>
      </c>
      <c r="I7" s="85" t="s">
        <v>237</v>
      </c>
      <c r="J7" s="85" t="s">
        <v>235</v>
      </c>
      <c r="K7" s="85" t="s">
        <v>236</v>
      </c>
      <c r="L7" s="85" t="s">
        <v>237</v>
      </c>
      <c r="M7" s="85" t="s">
        <v>238</v>
      </c>
      <c r="N7" s="85" t="s">
        <v>204</v>
      </c>
    </row>
    <row r="8" spans="1:16" x14ac:dyDescent="0.25">
      <c r="F8" s="90">
        <v>300175744.54000002</v>
      </c>
      <c r="G8" s="90">
        <v>203110841</v>
      </c>
      <c r="H8" s="90">
        <v>11361141</v>
      </c>
      <c r="I8" s="90">
        <v>214471982</v>
      </c>
      <c r="J8" s="90">
        <v>117950221</v>
      </c>
      <c r="K8" s="90">
        <v>15740608</v>
      </c>
      <c r="L8" s="90">
        <v>133690829</v>
      </c>
      <c r="M8" s="90">
        <v>124324489.14489999</v>
      </c>
      <c r="N8" s="91">
        <v>92.994</v>
      </c>
    </row>
    <row r="12" spans="1:16" ht="21.75" x14ac:dyDescent="0.25">
      <c r="A12" s="92" t="s">
        <v>239</v>
      </c>
      <c r="B12" s="92" t="s">
        <v>193</v>
      </c>
      <c r="C12" s="92"/>
    </row>
    <row r="13" spans="1:16" ht="21.75" x14ac:dyDescent="0.25">
      <c r="A13" s="93" t="s">
        <v>201</v>
      </c>
      <c r="B13" s="93" t="s">
        <v>202</v>
      </c>
      <c r="C13" s="94">
        <f>F4/1000</f>
        <v>5892.74478</v>
      </c>
    </row>
    <row r="14" spans="1:16" ht="21.75" x14ac:dyDescent="0.25">
      <c r="A14" s="95" t="s">
        <v>203</v>
      </c>
      <c r="B14" s="95" t="s">
        <v>204</v>
      </c>
      <c r="C14" s="96">
        <f>G4/100</f>
        <v>0.97499999999999998</v>
      </c>
    </row>
    <row r="15" spans="1:16" ht="21.75" x14ac:dyDescent="0.25">
      <c r="A15" s="93" t="s">
        <v>205</v>
      </c>
      <c r="B15" s="93" t="s">
        <v>202</v>
      </c>
      <c r="C15" s="94">
        <f>I4/1000</f>
        <v>2317.6610000000001</v>
      </c>
    </row>
    <row r="16" spans="1:16" ht="21.75" x14ac:dyDescent="0.25">
      <c r="A16" s="95" t="s">
        <v>206</v>
      </c>
      <c r="B16" s="95" t="s">
        <v>202</v>
      </c>
      <c r="C16" s="97">
        <f>J4/1000</f>
        <v>2515.3960000000002</v>
      </c>
    </row>
    <row r="17" spans="1:3" ht="21.75" x14ac:dyDescent="0.25">
      <c r="A17" s="93" t="s">
        <v>207</v>
      </c>
      <c r="B17" s="93" t="s">
        <v>208</v>
      </c>
      <c r="C17" s="94">
        <f>H4/1000</f>
        <v>31829.58684</v>
      </c>
    </row>
    <row r="18" spans="1:3" ht="21.75" x14ac:dyDescent="0.25">
      <c r="A18" s="95" t="s">
        <v>209</v>
      </c>
      <c r="B18" s="95" t="s">
        <v>210</v>
      </c>
      <c r="C18" s="97">
        <f>I8/1000</f>
        <v>214471.98199999999</v>
      </c>
    </row>
    <row r="19" spans="1:3" ht="21.75" x14ac:dyDescent="0.25">
      <c r="A19" s="93" t="s">
        <v>211</v>
      </c>
      <c r="B19" s="93" t="s">
        <v>210</v>
      </c>
      <c r="C19" s="94">
        <f>F8/1000</f>
        <v>300175.74454000004</v>
      </c>
    </row>
    <row r="21" spans="1:3" ht="21.75" x14ac:dyDescent="0.25">
      <c r="A21" s="92" t="s">
        <v>240</v>
      </c>
      <c r="B21" s="92" t="s">
        <v>193</v>
      </c>
      <c r="C21" s="92"/>
    </row>
    <row r="22" spans="1:3" ht="21.75" x14ac:dyDescent="0.25">
      <c r="A22" s="93" t="s">
        <v>201</v>
      </c>
      <c r="B22" s="93" t="s">
        <v>202</v>
      </c>
      <c r="C22" s="94">
        <f>K4/1000</f>
        <v>4016.2188599999999</v>
      </c>
    </row>
    <row r="23" spans="1:3" ht="21.75" x14ac:dyDescent="0.25">
      <c r="A23" s="95" t="s">
        <v>203</v>
      </c>
      <c r="B23" s="95" t="s">
        <v>204</v>
      </c>
      <c r="C23" s="96">
        <f>L4/100</f>
        <v>0.66500000000000004</v>
      </c>
    </row>
    <row r="24" spans="1:3" ht="21.75" x14ac:dyDescent="0.25">
      <c r="A24" s="93" t="s">
        <v>213</v>
      </c>
      <c r="B24" s="93" t="s">
        <v>204</v>
      </c>
      <c r="C24" s="98">
        <f>P4/100</f>
        <v>0.621</v>
      </c>
    </row>
    <row r="25" spans="1:3" ht="21.75" x14ac:dyDescent="0.25">
      <c r="A25" s="95" t="s">
        <v>205</v>
      </c>
      <c r="B25" s="95" t="s">
        <v>202</v>
      </c>
      <c r="C25" s="97">
        <f>N4/1000</f>
        <v>1318.4449999999999</v>
      </c>
    </row>
    <row r="26" spans="1:3" ht="21.75" x14ac:dyDescent="0.25">
      <c r="A26" s="93" t="s">
        <v>206</v>
      </c>
      <c r="B26" s="93" t="s">
        <v>202</v>
      </c>
      <c r="C26" s="94">
        <f>O4/1000</f>
        <v>1484.183</v>
      </c>
    </row>
    <row r="27" spans="1:3" ht="21.75" x14ac:dyDescent="0.25">
      <c r="A27" s="95" t="s">
        <v>207</v>
      </c>
      <c r="B27" s="95" t="s">
        <v>208</v>
      </c>
      <c r="C27" s="97">
        <f>M4/1000</f>
        <v>14556.793599999999</v>
      </c>
    </row>
    <row r="28" spans="1:3" ht="21.75" x14ac:dyDescent="0.25">
      <c r="A28" s="93" t="s">
        <v>209</v>
      </c>
      <c r="B28" s="93" t="s">
        <v>210</v>
      </c>
      <c r="C28" s="94">
        <f>L8/1000</f>
        <v>133690.829</v>
      </c>
    </row>
    <row r="29" spans="1:3" ht="21.75" x14ac:dyDescent="0.25">
      <c r="A29" s="95" t="s">
        <v>214</v>
      </c>
      <c r="B29" s="95" t="s">
        <v>210</v>
      </c>
      <c r="C29" s="97">
        <f>M8/1000</f>
        <v>124324.4891449</v>
      </c>
    </row>
    <row r="32" spans="1:3" ht="21.75" x14ac:dyDescent="0.25">
      <c r="A32" s="92" t="s">
        <v>241</v>
      </c>
      <c r="B32" s="92"/>
    </row>
    <row r="33" spans="1:2" ht="21.75" x14ac:dyDescent="0.25">
      <c r="A33" s="93" t="s">
        <v>216</v>
      </c>
      <c r="B33" s="94">
        <v>5832</v>
      </c>
    </row>
    <row r="34" spans="1:2" ht="21.75" x14ac:dyDescent="0.25">
      <c r="A34" s="95" t="s">
        <v>218</v>
      </c>
      <c r="B34" s="95">
        <v>623</v>
      </c>
    </row>
    <row r="35" spans="1:2" ht="21.75" x14ac:dyDescent="0.25">
      <c r="A35" s="93" t="s">
        <v>219</v>
      </c>
      <c r="B35" s="93">
        <v>686</v>
      </c>
    </row>
    <row r="36" spans="1:2" ht="21.75" x14ac:dyDescent="0.25">
      <c r="A36" s="95" t="s">
        <v>220</v>
      </c>
      <c r="B36" s="96">
        <v>0.26529999999999998</v>
      </c>
    </row>
    <row r="39" spans="1:2" ht="21.75" x14ac:dyDescent="0.25">
      <c r="A39" s="99" t="s">
        <v>242</v>
      </c>
      <c r="B39" s="92"/>
    </row>
    <row r="40" spans="1:2" ht="21.75" x14ac:dyDescent="0.25">
      <c r="A40" s="100" t="s">
        <v>243</v>
      </c>
      <c r="B40" s="93">
        <v>226</v>
      </c>
    </row>
    <row r="41" spans="1:2" ht="21.75" x14ac:dyDescent="0.25">
      <c r="A41" s="101" t="s">
        <v>223</v>
      </c>
      <c r="B41" s="95">
        <v>62</v>
      </c>
    </row>
    <row r="42" spans="1:2" ht="21.75" x14ac:dyDescent="0.25">
      <c r="A42" s="100" t="s">
        <v>244</v>
      </c>
      <c r="B42" s="93">
        <v>74</v>
      </c>
    </row>
    <row r="43" spans="1:2" ht="43.5" x14ac:dyDescent="0.25">
      <c r="A43" s="101" t="s">
        <v>245</v>
      </c>
      <c r="B43" s="95">
        <v>90</v>
      </c>
    </row>
  </sheetData>
  <mergeCells count="4">
    <mergeCell ref="F2:J2"/>
    <mergeCell ref="K2:P2"/>
    <mergeCell ref="F6:I6"/>
    <mergeCell ref="J6:N6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Home</vt:lpstr>
      <vt:lpstr>Balanço Patrimonial</vt:lpstr>
      <vt:lpstr>DRE Analitica</vt:lpstr>
      <vt:lpstr>DRE Sintetica</vt:lpstr>
      <vt:lpstr>Resultados Abrangentes</vt:lpstr>
      <vt:lpstr>Fluxos de Caixa</vt:lpstr>
      <vt:lpstr>Valores Adicionados</vt:lpstr>
      <vt:lpstr>Indicadores Operacionais</vt:lpstr>
      <vt:lpstr>Recepção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Pabline Martins</dc:creator>
  <dc:description/>
  <cp:lastModifiedBy>WESLEY COSME DE AZEVEDO</cp:lastModifiedBy>
  <cp:revision>60</cp:revision>
  <dcterms:created xsi:type="dcterms:W3CDTF">2020-08-31T16:56:18Z</dcterms:created>
  <dcterms:modified xsi:type="dcterms:W3CDTF">2026-08-13T18:05:47Z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